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1865" tabRatio="900" activeTab="0"/>
  </bookViews>
  <sheets>
    <sheet name="Instructions" sheetId="1" r:id="rId1"/>
    <sheet name="Cover" sheetId="2" r:id="rId2"/>
    <sheet name="Headcount" sheetId="3" r:id="rId3"/>
    <sheet name="Expenses" sheetId="4" r:id="rId4"/>
    <sheet name="Equipment" sheetId="5" r:id="rId5"/>
    <sheet name="Sales-COS" sheetId="6" r:id="rId6"/>
    <sheet name="Financials" sheetId="7" r:id="rId7"/>
    <sheet name="5-Year" sheetId="8" r:id="rId8"/>
    <sheet name="Metrics" sheetId="9" r:id="rId9"/>
  </sheets>
  <externalReferences>
    <externalReference r:id="rId12"/>
    <externalReference r:id="rId13"/>
  </externalReferences>
  <definedNames>
    <definedName name="__123Graph_AChart1A" localSheetId="8" hidden="1">'[2]Cover'!#REF!</definedName>
    <definedName name="__123Graph_AChart1A" hidden="1">#N/A</definedName>
    <definedName name="__123Graph_BChart1A" localSheetId="8" hidden="1">'[2]Cover'!#REF!</definedName>
    <definedName name="__123Graph_BChart1A" hidden="1">#N/A</definedName>
    <definedName name="__123Graph_XChart1A" localSheetId="8" hidden="1">'[2]Cover'!#REF!</definedName>
    <definedName name="__123Graph_XChart1A" hidden="1">#N/A</definedName>
    <definedName name="Date_Header" localSheetId="8">'[2]Cover'!$C$59:$N$60</definedName>
    <definedName name="Date_Header">'[1]Statement Model'!$C$59:$N$60</definedName>
    <definedName name="Income_Statement_Summary" localSheetId="8">'[2]Cover'!$A$1372:$A$1415</definedName>
    <definedName name="Income_Statement_Summary">'[1]Statement Model'!$A$1372:$A$1415</definedName>
    <definedName name="_xlnm.Print_Area" localSheetId="7">'5-Year'!$A$1:$G$124</definedName>
    <definedName name="_xlnm.Print_Area" localSheetId="1">'Cover'!$A$1:$M$32</definedName>
    <definedName name="_xlnm.Print_Area" localSheetId="4">'Equipment'!$A$1:$AD$52</definedName>
    <definedName name="_xlnm.Print_Area" localSheetId="3">'Expenses'!$A$1:$AD$52</definedName>
    <definedName name="_xlnm.Print_Area" localSheetId="6">'Financials'!$A$1:$AD$315</definedName>
    <definedName name="_xlnm.Print_Area" localSheetId="2">'Headcount'!$A$1:$AD$54</definedName>
    <definedName name="_xlnm.Print_Area" localSheetId="0">'Instructions'!$A$1:$P$38</definedName>
    <definedName name="_xlnm.Print_Area" localSheetId="8">'Metrics'!$A$1:$N$465</definedName>
    <definedName name="_xlnm.Print_Area" localSheetId="5">'Sales-COS'!$A$1:$AD$56</definedName>
  </definedNames>
  <calcPr fullCalcOnLoad="1"/>
</workbook>
</file>

<file path=xl/comments2.xml><?xml version="1.0" encoding="utf-8"?>
<comments xmlns="http://schemas.openxmlformats.org/spreadsheetml/2006/main">
  <authors>
    <author>Ron Johnson</author>
  </authors>
  <commentList>
    <comment ref="A13" authorId="0">
      <text>
        <r>
          <rPr>
            <sz val="12"/>
            <rFont val="Tahoma"/>
            <family val="2"/>
          </rPr>
          <t>E</t>
        </r>
        <r>
          <rPr>
            <sz val="11"/>
            <rFont val="Tahoma"/>
            <family val="2"/>
          </rPr>
          <t xml:space="preserve">nter Your Company Name Here
All subsequent worksheets will be updated.
Graphics (logos, etc.) can be placed here if desired.
</t>
        </r>
      </text>
    </comment>
    <comment ref="I17" authorId="0">
      <text>
        <r>
          <rPr>
            <sz val="11"/>
            <rFont val="Tahoma"/>
            <family val="2"/>
          </rPr>
          <t>Enter the draft number here (modify this description).  All subsequent worksheets will be updated.</t>
        </r>
        <r>
          <rPr>
            <b/>
            <sz val="12"/>
            <rFont val="Tahoma"/>
            <family val="2"/>
          </rPr>
          <t xml:space="preserve">
</t>
        </r>
        <r>
          <rPr>
            <sz val="8"/>
            <rFont val="Tahoma"/>
            <family val="2"/>
          </rPr>
          <t xml:space="preserve">
</t>
        </r>
      </text>
    </comment>
  </commentList>
</comments>
</file>

<file path=xl/comments3.xml><?xml version="1.0" encoding="utf-8"?>
<comments xmlns="http://schemas.openxmlformats.org/spreadsheetml/2006/main">
  <authors>
    <author>Ron Johnson</author>
    <author>Ron</author>
  </authors>
  <commentList>
    <comment ref="B2" authorId="0">
      <text>
        <r>
          <rPr>
            <b/>
            <sz val="14"/>
            <rFont val="Tahoma"/>
            <family val="2"/>
          </rPr>
          <t>PAGE-VIEW</t>
        </r>
        <r>
          <rPr>
            <b/>
            <sz val="14"/>
            <color indexed="17"/>
            <rFont val="Tahoma"/>
            <family val="2"/>
          </rPr>
          <t xml:space="preserve">
===========================================================
</t>
        </r>
        <r>
          <rPr>
            <b/>
            <sz val="11"/>
            <color indexed="17"/>
            <rFont val="Tahoma"/>
            <family val="2"/>
          </rPr>
          <t xml:space="preserve">HEADCOUNT UNITS - This page records the titles of the present employees and the employees to be hired over the next 12 month period. 
(You may enter the names of the employees if you wish.  However, be careful of disclosing specific employees salaries to those who view the plan.  Employees salaries must be kept confidential). </t>
        </r>
        <r>
          <rPr>
            <sz val="11"/>
            <color indexed="17"/>
            <rFont val="Tahoma"/>
            <family val="2"/>
          </rPr>
          <t xml:space="preserve">
</t>
        </r>
        <r>
          <rPr>
            <b/>
            <sz val="11"/>
            <color indexed="17"/>
            <rFont val="Tahoma"/>
            <family val="2"/>
          </rPr>
          <t xml:space="preserve">
You will also enter a number "1" in the cell corresponding to the month in which the employee is hired.  These numbers will be multiplied times the monthly salary for each position, to arrive at total salaries for the entire company.
You may enter a 1,2,3, etc, in the units box for several employees of the same description and salary.
You my also hard code a salary raise in the appropriate month for the employee,  However, the headcount (units number) cannot be changed for any later periods for this one employee.
Entering a headcount without a salary will result in an error message in the Headcount Salaries section below.  This assures all employees have a salary attached to the headcount given in the Headcount Units section.</t>
        </r>
      </text>
    </comment>
    <comment ref="B31" authorId="0">
      <text>
        <r>
          <rPr>
            <b/>
            <sz val="14"/>
            <rFont val="Tahoma"/>
            <family val="2"/>
          </rPr>
          <t>ANNUAL SALARY</t>
        </r>
        <r>
          <rPr>
            <b/>
            <sz val="14"/>
            <color indexed="17"/>
            <rFont val="Tahoma"/>
            <family val="2"/>
          </rPr>
          <t xml:space="preserve">
====================================
</t>
        </r>
        <r>
          <rPr>
            <b/>
            <sz val="11"/>
            <color indexed="17"/>
            <rFont val="Tahoma"/>
            <family val="2"/>
          </rPr>
          <t>In this column, enter the annual salaries for the employees or positions indicated in the column to the left.  
If the employee position is hourly, multiply the hourly rate by 2080 hours to get an annual equivalent.</t>
        </r>
        <r>
          <rPr>
            <sz val="14"/>
            <color indexed="17"/>
            <rFont val="Tahoma"/>
            <family val="2"/>
          </rPr>
          <t xml:space="preserve">
</t>
        </r>
      </text>
    </comment>
    <comment ref="C5" authorId="1">
      <text>
        <r>
          <rPr>
            <b/>
            <sz val="14"/>
            <rFont val="Tahoma"/>
            <family val="2"/>
          </rPr>
          <t xml:space="preserve">
</t>
        </r>
        <r>
          <rPr>
            <b/>
            <sz val="11"/>
            <color indexed="17"/>
            <rFont val="Tahoma"/>
            <family val="2"/>
          </rPr>
          <t>Enter either numbers in these fields, representing month 1, month 2, etc. Or enter "Jan" for January or enter the abbreviated form of any beginning month you choose.
Any entry made in row 4 or 5 will be replicated on every schedule throghout the model</t>
        </r>
        <r>
          <rPr>
            <sz val="14"/>
            <rFont val="Tahoma"/>
            <family val="2"/>
          </rPr>
          <t xml:space="preserve">
</t>
        </r>
      </text>
    </comment>
    <comment ref="R5" authorId="1">
      <text>
        <r>
          <rPr>
            <b/>
            <sz val="11"/>
            <rFont val="Tahoma"/>
            <family val="2"/>
          </rPr>
          <t xml:space="preserve">
</t>
        </r>
        <r>
          <rPr>
            <b/>
            <sz val="11"/>
            <color indexed="17"/>
            <rFont val="Tahoma"/>
            <family val="2"/>
          </rPr>
          <t>Enter either numbers in these fields, representing month 1, month 2, etc. Or enter "Jan" for January or enter the abbreviated form of any beginning month you choose.
Any entry made in row 4 or 5 will be replicated on every schedule throghout the model.</t>
        </r>
        <r>
          <rPr>
            <sz val="14"/>
            <rFont val="Tahoma"/>
            <family val="2"/>
          </rPr>
          <t xml:space="preserve">
</t>
        </r>
      </text>
    </comment>
  </commentList>
</comments>
</file>

<file path=xl/comments4.xml><?xml version="1.0" encoding="utf-8"?>
<comments xmlns="http://schemas.openxmlformats.org/spreadsheetml/2006/main">
  <authors>
    <author>Ron</author>
    <author>Windows User</author>
  </authors>
  <commentList>
    <comment ref="A2" authorId="0">
      <text>
        <r>
          <rPr>
            <b/>
            <sz val="14"/>
            <rFont val="Tahoma"/>
            <family val="2"/>
          </rPr>
          <t xml:space="preserve">PAGE VIEW
=====================================
</t>
        </r>
        <r>
          <rPr>
            <b/>
            <sz val="11"/>
            <color indexed="17"/>
            <rFont val="Tahoma"/>
            <family val="2"/>
          </rPr>
          <t>Enter the monthly operating expenses in the blue text cells below.</t>
        </r>
        <r>
          <rPr>
            <b/>
            <sz val="11"/>
            <rFont val="Tahoma"/>
            <family val="2"/>
          </rPr>
          <t xml:space="preserve">
</t>
        </r>
        <r>
          <rPr>
            <b/>
            <sz val="11"/>
            <color indexed="17"/>
            <rFont val="Tahoma"/>
            <family val="2"/>
          </rPr>
          <t xml:space="preserve">The expense descriptions can be changed to suit the company </t>
        </r>
        <r>
          <rPr>
            <b/>
            <sz val="11"/>
            <rFont val="Tahoma"/>
            <family val="2"/>
          </rPr>
          <t>(</t>
        </r>
        <r>
          <rPr>
            <b/>
            <sz val="11"/>
            <color indexed="12"/>
            <rFont val="Tahoma"/>
            <family val="2"/>
          </rPr>
          <t>blue text</t>
        </r>
        <r>
          <rPr>
            <b/>
            <sz val="11"/>
            <rFont val="Tahoma"/>
            <family val="2"/>
          </rPr>
          <t xml:space="preserve">).
</t>
        </r>
        <r>
          <rPr>
            <b/>
            <sz val="11"/>
            <color indexed="17"/>
            <rFont val="Tahoma"/>
            <family val="2"/>
          </rPr>
          <t xml:space="preserve">The black cell descriptions and values either come from the headcount/salary schedule or are calculated based on headcount units.  In the case of equipment leases, the value comes from the assets defined as leased with an "L" on the Equipment schedule. </t>
        </r>
      </text>
    </comment>
    <comment ref="A46" authorId="1">
      <text>
        <r>
          <rPr>
            <sz val="11"/>
            <rFont val="Tahoma"/>
            <family val="2"/>
          </rPr>
          <t>If this is the first pass of a new company budget, you might consider entering a contingency percentage for expenses that were not considered in the earlier budget drafts.
This value should be zero when the budget is finalized as there typically is not a general ledger expense line item called "Contingency".</t>
        </r>
        <r>
          <rPr>
            <sz val="12"/>
            <rFont val="Tahoma"/>
            <family val="2"/>
          </rPr>
          <t xml:space="preserve">
</t>
        </r>
      </text>
    </comment>
  </commentList>
</comments>
</file>

<file path=xl/comments5.xml><?xml version="1.0" encoding="utf-8"?>
<comments xmlns="http://schemas.openxmlformats.org/spreadsheetml/2006/main">
  <authors>
    <author>Ron Johnson</author>
    <author>Windows User</author>
  </authors>
  <commentList>
    <comment ref="A2" authorId="0">
      <text>
        <r>
          <rPr>
            <b/>
            <sz val="14"/>
            <rFont val="Tahoma"/>
            <family val="2"/>
          </rPr>
          <t xml:space="preserve">Page-View
========================================
</t>
        </r>
        <r>
          <rPr>
            <b/>
            <sz val="11"/>
            <color indexed="17"/>
            <rFont val="Tahoma"/>
            <family val="2"/>
          </rPr>
          <t xml:space="preserve">EQUIPMENT
This is where you will record your equipment acquisitions for the year.  
</t>
        </r>
        <r>
          <rPr>
            <b/>
            <sz val="11"/>
            <color indexed="10"/>
            <rFont val="Tahoma"/>
            <family val="2"/>
          </rPr>
          <t>Equipment is normally defined as items purchased which will cost over $1,000 each and have a useful life in excess of one year.</t>
        </r>
        <r>
          <rPr>
            <b/>
            <sz val="11"/>
            <color indexed="17"/>
            <rFont val="Tahoma"/>
            <family val="2"/>
          </rPr>
          <t xml:space="preserve">  
Examples would include computers, office furnishings, a purchased photocopier, interior improvements, major building repairs, production equipment, phone systems, etc.  Individual items costing less then $1,000 but purchased at the same time may qualify as capital equipment.  
Also, many smaller items purchased when the company is started may fall under the rules of original compliment.  Check with your accountant if you have questions here. 
This page records equipment acquired.  "P" or "L" in column B defines whether the item will be purchased or leased by an operating lease.  An indication of "P" or "L" for each line item will post the cost to the appropriate financial statement.</t>
        </r>
        <r>
          <rPr>
            <sz val="11"/>
            <rFont val="Tahoma"/>
            <family val="2"/>
          </rPr>
          <t xml:space="preserve">
</t>
        </r>
        <r>
          <rPr>
            <sz val="8"/>
            <rFont val="Tahoma"/>
            <family val="2"/>
          </rPr>
          <t xml:space="preserve">
</t>
        </r>
      </text>
    </comment>
    <comment ref="C11" authorId="0">
      <text>
        <r>
          <rPr>
            <sz val="11"/>
            <rFont val="Tahoma"/>
            <family val="2"/>
          </rPr>
          <t>Enter the amount of the item to be acquired in the appropriate month.  Like items can be combined on each line with multiple dollar amounts in different periods on the same line.</t>
        </r>
        <r>
          <rPr>
            <sz val="8"/>
            <rFont val="Tahoma"/>
            <family val="2"/>
          </rPr>
          <t xml:space="preserve">
</t>
        </r>
      </text>
    </comment>
    <comment ref="B47" authorId="0">
      <text>
        <r>
          <rPr>
            <sz val="11"/>
            <rFont val="Tahoma"/>
            <family val="2"/>
          </rPr>
          <t xml:space="preserve">Enter the depreciation period in months for the respective classes of equipment.
</t>
        </r>
      </text>
    </comment>
    <comment ref="Q47" authorId="0">
      <text>
        <r>
          <rPr>
            <sz val="11"/>
            <rFont val="Tahoma"/>
            <family val="2"/>
          </rPr>
          <t>Enter the depreciation period in months for the respective classes of equipment.</t>
        </r>
        <r>
          <rPr>
            <sz val="8"/>
            <rFont val="Tahoma"/>
            <family val="2"/>
          </rPr>
          <t xml:space="preserve">
</t>
        </r>
      </text>
    </comment>
    <comment ref="C9" authorId="0">
      <text>
        <r>
          <rPr>
            <sz val="11"/>
            <rFont val="Tahoma"/>
            <family val="2"/>
          </rPr>
          <t>Post the typical cost for a new computer and software for employee use.</t>
        </r>
        <r>
          <rPr>
            <sz val="8"/>
            <rFont val="Tahoma"/>
            <family val="2"/>
          </rPr>
          <t xml:space="preserve">
</t>
        </r>
      </text>
    </comment>
    <comment ref="B10" authorId="0">
      <text>
        <r>
          <rPr>
            <sz val="11"/>
            <rFont val="Tahoma"/>
            <family val="2"/>
          </rPr>
          <t xml:space="preserve">Enter a "P" for Purchase or a "L" for Lease.  The lease defined here is an </t>
        </r>
        <r>
          <rPr>
            <sz val="11"/>
            <color indexed="10"/>
            <rFont val="Tahoma"/>
            <family val="2"/>
          </rPr>
          <t>operating lease</t>
        </r>
        <r>
          <rPr>
            <sz val="11"/>
            <rFont val="Tahoma"/>
            <family val="2"/>
          </rPr>
          <t>.  This is most often thought of as leasing someone else's equipment verses recording the equipment as an asset on your books.
For more information, see FAS 13.7 a-d.</t>
        </r>
        <r>
          <rPr>
            <sz val="8"/>
            <rFont val="Tahoma"/>
            <family val="2"/>
          </rPr>
          <t xml:space="preserve">
</t>
        </r>
      </text>
    </comment>
    <comment ref="A16" authorId="1">
      <text>
        <r>
          <rPr>
            <sz val="11"/>
            <rFont val="Tahoma"/>
            <family val="2"/>
          </rPr>
          <t>This amount replicates each month for undefined purchases.  You can adjust as necessary.</t>
        </r>
        <r>
          <rPr>
            <sz val="16"/>
            <rFont val="Tahoma"/>
            <family val="2"/>
          </rPr>
          <t xml:space="preserve">
</t>
        </r>
      </text>
    </comment>
  </commentList>
</comments>
</file>

<file path=xl/comments6.xml><?xml version="1.0" encoding="utf-8"?>
<comments xmlns="http://schemas.openxmlformats.org/spreadsheetml/2006/main">
  <authors>
    <author>Ron</author>
    <author>Windows User</author>
  </authors>
  <commentList>
    <comment ref="A2" authorId="0">
      <text>
        <r>
          <rPr>
            <b/>
            <sz val="12"/>
            <rFont val="Tahoma"/>
            <family val="2"/>
          </rPr>
          <t>PAGE VIEW</t>
        </r>
        <r>
          <rPr>
            <b/>
            <sz val="14"/>
            <rFont val="Tahoma"/>
            <family val="2"/>
          </rPr>
          <t xml:space="preserve">
========================
</t>
        </r>
        <r>
          <rPr>
            <sz val="11"/>
            <color indexed="17"/>
            <rFont val="Tahoma"/>
            <family val="2"/>
          </rPr>
          <t>Enter the product names in cells A8 through A15.
Enter the number of units that will be sold in each month.
Enter the sales price per unit in cells B20 through B27.
Enter the cost of sales percentage in cells B44 through B51.</t>
        </r>
        <r>
          <rPr>
            <sz val="14"/>
            <color indexed="17"/>
            <rFont val="Tahoma"/>
            <family val="2"/>
          </rPr>
          <t xml:space="preserve">
</t>
        </r>
      </text>
    </comment>
    <comment ref="B19" authorId="1">
      <text>
        <r>
          <rPr>
            <sz val="11"/>
            <rFont val="Tahoma"/>
            <family val="2"/>
          </rPr>
          <t>If this is a range, use an average selling price.</t>
        </r>
        <r>
          <rPr>
            <sz val="14"/>
            <rFont val="Tahoma"/>
            <family val="2"/>
          </rPr>
          <t xml:space="preserve">
</t>
        </r>
      </text>
    </comment>
    <comment ref="A43" authorId="1">
      <text>
        <r>
          <rPr>
            <sz val="11"/>
            <rFont val="Tahoma"/>
            <family val="2"/>
          </rPr>
          <t>If you wish to use a more involved COGS calculation, you might want to start with a percentge and build out this section in the worksheet below, later in the process.</t>
        </r>
        <r>
          <rPr>
            <sz val="14"/>
            <rFont val="Tahoma"/>
            <family val="2"/>
          </rPr>
          <t xml:space="preserve">
</t>
        </r>
      </text>
    </comment>
  </commentList>
</comments>
</file>

<file path=xl/comments7.xml><?xml version="1.0" encoding="utf-8"?>
<comments xmlns="http://schemas.openxmlformats.org/spreadsheetml/2006/main">
  <authors>
    <author>Ron Johnson</author>
    <author>Ron</author>
    <author>Windows User</author>
  </authors>
  <commentList>
    <comment ref="B2" authorId="0">
      <text>
        <r>
          <rPr>
            <b/>
            <sz val="14"/>
            <rFont val="Tahoma"/>
            <family val="2"/>
          </rPr>
          <t xml:space="preserve">PAGE-VIEW
====================================
</t>
        </r>
        <r>
          <rPr>
            <b/>
            <sz val="11"/>
            <color indexed="17"/>
            <rFont val="Tahoma"/>
            <family val="2"/>
          </rPr>
          <t xml:space="preserve">INCOME STATEMENT
The Income Statement summarizes the transactions that have occurred over the past month.  Sales made, costs incurred to make the product, expenses incurred to store, sell and service and support the product and to provide for the overhead of the company.
</t>
        </r>
        <r>
          <rPr>
            <b/>
            <sz val="11"/>
            <color indexed="10"/>
            <rFont val="Tahoma"/>
            <family val="2"/>
          </rPr>
          <t>The only user active field on this statement is the interest income field, cell B44.</t>
        </r>
        <r>
          <rPr>
            <b/>
            <sz val="14"/>
            <color indexed="10"/>
            <rFont val="Tahoma"/>
            <family val="2"/>
          </rPr>
          <t xml:space="preserve"> </t>
        </r>
        <r>
          <rPr>
            <b/>
            <sz val="14"/>
            <color indexed="17"/>
            <rFont val="Tahoma"/>
            <family val="2"/>
          </rPr>
          <t xml:space="preserve"> 
</t>
        </r>
      </text>
    </comment>
    <comment ref="A51" authorId="0">
      <text>
        <r>
          <rPr>
            <b/>
            <sz val="14"/>
            <rFont val="Tahoma"/>
            <family val="2"/>
          </rPr>
          <t>PAGE-VIEW</t>
        </r>
        <r>
          <rPr>
            <b/>
            <sz val="18"/>
            <rFont val="Tahoma"/>
            <family val="2"/>
          </rPr>
          <t xml:space="preserve">
</t>
        </r>
        <r>
          <rPr>
            <b/>
            <sz val="14"/>
            <rFont val="Tahoma"/>
            <family val="2"/>
          </rPr>
          <t xml:space="preserve">================================
</t>
        </r>
        <r>
          <rPr>
            <b/>
            <sz val="11"/>
            <color indexed="17"/>
            <rFont val="Tahoma"/>
            <family val="2"/>
          </rPr>
          <t xml:space="preserve">BALANCE SHEET
The Balance Sheet indicates your financial position at a specific point in time (end of each month).  It summarizes everything the company owns, owes and the difference between the two, being equity.
</t>
        </r>
        <r>
          <rPr>
            <b/>
            <sz val="11"/>
            <color indexed="10"/>
            <rFont val="Tahoma"/>
            <family val="2"/>
          </rPr>
          <t xml:space="preserve">
Most of the fields on this statement are filled according to formula and require no user intervention. </t>
        </r>
        <r>
          <rPr>
            <b/>
            <sz val="11"/>
            <color indexed="17"/>
            <rFont val="Tahoma"/>
            <family val="2"/>
          </rPr>
          <t xml:space="preserve"> However, Inventory must be entered manually.</t>
        </r>
        <r>
          <rPr>
            <sz val="11"/>
            <color indexed="17"/>
            <rFont val="Tahoma"/>
            <family val="2"/>
          </rPr>
          <t xml:space="preserve">
</t>
        </r>
        <r>
          <rPr>
            <b/>
            <sz val="11"/>
            <color indexed="17"/>
            <rFont val="Tahoma"/>
            <family val="2"/>
          </rPr>
          <t>Also, verify that the Accounts Recievable and Accounts Payable calculation is consistent with your company.  If not, change the formula or the amount right in the cell.</t>
        </r>
        <r>
          <rPr>
            <sz val="14"/>
            <color indexed="17"/>
            <rFont val="Tahoma"/>
            <family val="2"/>
          </rPr>
          <t xml:space="preserve">
</t>
        </r>
      </text>
    </comment>
    <comment ref="A104" authorId="1">
      <text>
        <r>
          <rPr>
            <sz val="11"/>
            <rFont val="Tahoma"/>
            <family val="2"/>
          </rPr>
          <t>There is no user intervention required on the Cash Flow Statement.  It calculates automatically</t>
        </r>
        <r>
          <rPr>
            <sz val="14"/>
            <rFont val="Tahoma"/>
            <family val="2"/>
          </rPr>
          <t xml:space="preserve">
</t>
        </r>
      </text>
    </comment>
    <comment ref="A133" authorId="1">
      <text>
        <r>
          <rPr>
            <b/>
            <sz val="11"/>
            <rFont val="Tahoma"/>
            <family val="2"/>
          </rPr>
          <t xml:space="preserve">Think of the Cash Balance chart as your </t>
        </r>
        <r>
          <rPr>
            <b/>
            <u val="single"/>
            <sz val="11"/>
            <rFont val="Tahoma"/>
            <family val="2"/>
          </rPr>
          <t>bank account balance.</t>
        </r>
        <r>
          <rPr>
            <b/>
            <sz val="11"/>
            <rFont val="Tahoma"/>
            <family val="2"/>
          </rPr>
          <t xml:space="preserve">
Enter the amount of equity you need to raise in order to keep the cash balance above zero (with a comfortable pad in the event things don’t go exactly as planned).
If you have naturally occuring milestones, consider raising more than one round, as later rounds will be less costly if the company has performed according to their plan.</t>
        </r>
        <r>
          <rPr>
            <sz val="11"/>
            <rFont val="Tahoma"/>
            <family val="2"/>
          </rPr>
          <t xml:space="preserve">
</t>
        </r>
        <r>
          <rPr>
            <b/>
            <sz val="11"/>
            <rFont val="Tahoma"/>
            <family val="2"/>
          </rPr>
          <t xml:space="preserve">
Entries to the Equity Contribution cells (line 138 - 142) are automatically reflected on the balance sheet.
Does your cash balance eventually begin to increase?  If your cash balance is rising it shows you are cash independent and will not need to raise additional capital.</t>
        </r>
        <r>
          <rPr>
            <b/>
            <sz val="14"/>
            <rFont val="Tahoma"/>
            <family val="2"/>
          </rPr>
          <t xml:space="preserve">
</t>
        </r>
      </text>
    </comment>
    <comment ref="A181" authorId="1">
      <text>
        <r>
          <rPr>
            <b/>
            <sz val="11"/>
            <rFont val="Tahoma"/>
            <family val="2"/>
          </rPr>
          <t>Burn Rate is defined as "The rate at which management spends money".
A company that burns hot" is one that is spending at a very rapid rate.  One that burns colder is conserving their cash (sometimes to the detriment of progress that needs to be made within the company).</t>
        </r>
        <r>
          <rPr>
            <sz val="11"/>
            <rFont val="Tahoma"/>
            <family val="2"/>
          </rPr>
          <t xml:space="preserve">
</t>
        </r>
        <r>
          <rPr>
            <b/>
            <sz val="11"/>
            <rFont val="Tahoma"/>
            <family val="2"/>
          </rPr>
          <t>The elements of burn rate are listed below on lines 186 through 188; Operating Expenses, Capital Lease Payments and Equipment Purchases.</t>
        </r>
      </text>
    </comment>
    <comment ref="A234" authorId="1">
      <text>
        <r>
          <rPr>
            <b/>
            <sz val="11"/>
            <rFont val="Tahoma"/>
            <family val="2"/>
          </rPr>
          <t xml:space="preserve">If your company qualifies for debt capital, the following 4 schedules will provide your alternatives and will define the debt arrangement.
If you have no qualifying assets as collateral, the Revolving Line of Credit alternative will not calculate, even if the parameters are entered.
The operating Lease Schedule is invoked from the Equipment worksheet by entering an "L" in column B in the Equipment worksheet.
All debt information will automatically be posted to the Balance Sheet and to the Income Statement via the Expense Statement.
Input in the </t>
        </r>
        <r>
          <rPr>
            <b/>
            <sz val="11"/>
            <color indexed="12"/>
            <rFont val="Tahoma"/>
            <family val="2"/>
          </rPr>
          <t>blue text</t>
        </r>
        <r>
          <rPr>
            <b/>
            <sz val="11"/>
            <rFont val="Tahoma"/>
            <family val="2"/>
          </rPr>
          <t xml:space="preserve"> cells only.</t>
        </r>
        <r>
          <rPr>
            <sz val="11"/>
            <rFont val="Tahoma"/>
            <family val="2"/>
          </rPr>
          <t xml:space="preserve">
</t>
        </r>
      </text>
    </comment>
    <comment ref="A91" authorId="2">
      <text>
        <r>
          <rPr>
            <sz val="11"/>
            <rFont val="Tahoma"/>
            <family val="2"/>
          </rPr>
          <t>Do not adjust equity here.
Adjust equity below on the Equity Funding Worksheet</t>
        </r>
      </text>
    </comment>
    <comment ref="B241" authorId="2">
      <text>
        <r>
          <rPr>
            <sz val="11"/>
            <rFont val="Tahoma"/>
            <family val="2"/>
          </rPr>
          <t xml:space="preserve">
</t>
        </r>
        <r>
          <rPr>
            <b/>
            <sz val="11"/>
            <rFont val="Tahoma"/>
            <family val="2"/>
          </rPr>
          <t>Enter the month in which you want your revolving line of credit to begin.</t>
        </r>
      </text>
    </comment>
    <comment ref="B263" authorId="2">
      <text>
        <r>
          <rPr>
            <b/>
            <sz val="12"/>
            <rFont val="Tahoma"/>
            <family val="2"/>
          </rPr>
          <t>Enter the month in which you want your capital lease to begin</t>
        </r>
        <r>
          <rPr>
            <sz val="12"/>
            <rFont val="Tahoma"/>
            <family val="2"/>
          </rPr>
          <t xml:space="preserve">
</t>
        </r>
      </text>
    </comment>
    <comment ref="B289" authorId="2">
      <text>
        <r>
          <rPr>
            <sz val="12"/>
            <rFont val="Tahoma"/>
            <family val="2"/>
          </rPr>
          <t xml:space="preserve">Enter the month in which you will receive your note financing.
</t>
        </r>
      </text>
    </comment>
    <comment ref="C303" authorId="2">
      <text>
        <r>
          <rPr>
            <sz val="11"/>
            <rFont val="Tahoma"/>
            <family val="2"/>
          </rPr>
          <t>The monthly operating lease payment will be reflected in the operating expense worksheet.</t>
        </r>
        <r>
          <rPr>
            <sz val="9"/>
            <rFont val="Tahoma"/>
            <family val="2"/>
          </rPr>
          <t xml:space="preserve">
</t>
        </r>
      </text>
    </comment>
    <comment ref="A111" authorId="2">
      <text>
        <r>
          <rPr>
            <sz val="11"/>
            <rFont val="Tahoma"/>
            <family val="2"/>
          </rPr>
          <t>A non-cash expense</t>
        </r>
        <r>
          <rPr>
            <sz val="12"/>
            <rFont val="Tahoma"/>
            <family val="2"/>
          </rPr>
          <t xml:space="preserve">
</t>
        </r>
      </text>
    </comment>
  </commentList>
</comments>
</file>

<file path=xl/comments8.xml><?xml version="1.0" encoding="utf-8"?>
<comments xmlns="http://schemas.openxmlformats.org/spreadsheetml/2006/main">
  <authors>
    <author>Ron Johnson</author>
    <author>Ron</author>
  </authors>
  <commentList>
    <comment ref="C2" authorId="0">
      <text>
        <r>
          <rPr>
            <b/>
            <sz val="14"/>
            <rFont val="Tahoma"/>
            <family val="2"/>
          </rPr>
          <t xml:space="preserve">PAGE-VIEW
================================
</t>
        </r>
        <r>
          <rPr>
            <b/>
            <sz val="11"/>
            <color indexed="17"/>
            <rFont val="Tahoma"/>
            <family val="2"/>
          </rPr>
          <t>5 YEAR INCOME STATEMENT PROJECTION</t>
        </r>
        <r>
          <rPr>
            <sz val="11"/>
            <color indexed="17"/>
            <rFont val="Tahoma"/>
            <family val="2"/>
          </rPr>
          <t xml:space="preserve">
</t>
        </r>
        <r>
          <rPr>
            <b/>
            <sz val="11"/>
            <color indexed="17"/>
            <rFont val="Tahoma"/>
            <family val="2"/>
          </rPr>
          <t xml:space="preserve">This statement is prepared  from the operating plan detail for the first two years (commonly called a "bottoms-up" approach) and from a summary percentage extrapolation basis, commonly called a "top-down" approach, for the last three years.
The percentages in the middle of the Income Statement worksheet are used to calculate revenue gross margin and expense growth.  The </t>
        </r>
        <r>
          <rPr>
            <b/>
            <sz val="11"/>
            <color indexed="12"/>
            <rFont val="Tahoma"/>
            <family val="2"/>
          </rPr>
          <t>blue fields</t>
        </r>
        <r>
          <rPr>
            <b/>
            <sz val="11"/>
            <color indexed="17"/>
            <rFont val="Tahoma"/>
            <family val="2"/>
          </rPr>
          <t xml:space="preserve"> are input fields. 
Discreet number input cells are shown on the Balance Sheet for increases in accounts receivable, inventory, debt and equity.  Adjust if you see changes in these categories in year 3-5.</t>
        </r>
      </text>
    </comment>
    <comment ref="E23" authorId="0">
      <text>
        <r>
          <rPr>
            <b/>
            <sz val="11"/>
            <rFont val="Tahoma"/>
            <family val="2"/>
          </rPr>
          <t>Gross Margin % - Manually adjust your gross margin to your expectations for year 3 - 5.</t>
        </r>
        <r>
          <rPr>
            <sz val="8"/>
            <rFont val="Tahoma"/>
            <family val="2"/>
          </rPr>
          <t xml:space="preserve">
</t>
        </r>
      </text>
    </comment>
    <comment ref="E55" authorId="0">
      <text>
        <r>
          <rPr>
            <b/>
            <sz val="11"/>
            <rFont val="Tahoma"/>
            <family val="2"/>
          </rPr>
          <t xml:space="preserve">Fixed Assets - Computers - This is the total amount of computer equipment you expect to have on hand at the end of the year.
</t>
        </r>
      </text>
    </comment>
    <comment ref="E56" authorId="0">
      <text>
        <r>
          <rPr>
            <b/>
            <sz val="11"/>
            <rFont val="Tahoma"/>
            <family val="2"/>
          </rPr>
          <t>Fixed Assets - Furnishings - This is the total dollar value of furnishings you expect to have on hand at the end of this year.</t>
        </r>
        <r>
          <rPr>
            <sz val="11"/>
            <rFont val="Tahoma"/>
            <family val="2"/>
          </rPr>
          <t xml:space="preserve">
</t>
        </r>
      </text>
    </comment>
    <comment ref="A94" authorId="1">
      <text>
        <r>
          <rPr>
            <b/>
            <sz val="9"/>
            <rFont val="Tahoma"/>
            <family val="0"/>
          </rPr>
          <t>No manual adjustments shold be made on this schedule.  It is entirely self calculating.</t>
        </r>
      </text>
    </comment>
  </commentList>
</comments>
</file>

<file path=xl/comments9.xml><?xml version="1.0" encoding="utf-8"?>
<comments xmlns="http://schemas.openxmlformats.org/spreadsheetml/2006/main">
  <authors>
    <author>Ron</author>
    <author>Windows User</author>
  </authors>
  <commentList>
    <comment ref="A191" authorId="0">
      <text>
        <r>
          <rPr>
            <b/>
            <sz val="14"/>
            <rFont val="Tahoma"/>
            <family val="2"/>
          </rPr>
          <t xml:space="preserve">PAGE VIEW
===============================
</t>
        </r>
        <r>
          <rPr>
            <b/>
            <sz val="14"/>
            <color indexed="17"/>
            <rFont val="Tahoma"/>
            <family val="2"/>
          </rPr>
          <t xml:space="preserve">
Use the Stock Distribution worksheet to set up your stock distribution for each funding stage.
Changing the Price Per Share and the Number of Shares Issued will change the company valuation at various stages of growth.
In theory, the milestones identified in column L need to be accomplished before the company can claim the higher stock valuation of the next financing round.
</t>
        </r>
        <r>
          <rPr>
            <sz val="14"/>
            <color indexed="17"/>
            <rFont val="Tahoma"/>
            <family val="2"/>
          </rPr>
          <t xml:space="preserve">
</t>
        </r>
      </text>
    </comment>
    <comment ref="A241" authorId="0">
      <text>
        <r>
          <rPr>
            <b/>
            <sz val="14"/>
            <rFont val="Tahoma"/>
            <family val="2"/>
          </rPr>
          <t xml:space="preserve">PAGE VIEW
===============================
</t>
        </r>
        <r>
          <rPr>
            <b/>
            <sz val="14"/>
            <color indexed="17"/>
            <rFont val="Tahoma"/>
            <family val="2"/>
          </rPr>
          <t xml:space="preserve">
Use the Stock Distribution worksheet to set up your stock distribution for each funding stage.
Changing the Price Per Share and the Number of Shares Issued will change the company valuation, and the valuation of shares held by the individual shareholder, at various stages of growth.</t>
        </r>
        <r>
          <rPr>
            <sz val="14"/>
            <color indexed="17"/>
            <rFont val="Tahoma"/>
            <family val="2"/>
          </rPr>
          <t xml:space="preserve">
</t>
        </r>
      </text>
    </comment>
    <comment ref="A77" authorId="1">
      <text>
        <r>
          <rPr>
            <b/>
            <sz val="12"/>
            <rFont val="Tahoma"/>
            <family val="2"/>
          </rPr>
          <t>PAGEVIEW</t>
        </r>
        <r>
          <rPr>
            <sz val="12"/>
            <rFont val="Tahoma"/>
            <family val="2"/>
          </rPr>
          <t xml:space="preserve">
=========================
Hiring more employees will require larger facilities to accommodate them.  This chart estimates the square footage that would be required to accomate the expected new hires.
If the company has a large warehouse or storage facilities, the headcount reference may be inapplicable or could perhaps be changed to sum the total of office-based employees only.</t>
        </r>
      </text>
    </comment>
  </commentList>
</comments>
</file>

<file path=xl/sharedStrings.xml><?xml version="1.0" encoding="utf-8"?>
<sst xmlns="http://schemas.openxmlformats.org/spreadsheetml/2006/main" count="1039" uniqueCount="582">
  <si>
    <t>CONFIDENTIAL</t>
  </si>
  <si>
    <t>Total</t>
  </si>
  <si>
    <t>Annual</t>
  </si>
  <si>
    <t>Months</t>
  </si>
  <si>
    <t>Payroll Taxes</t>
  </si>
  <si>
    <t>Utilities</t>
  </si>
  <si>
    <t>Other</t>
  </si>
  <si>
    <t>INCOME STATEMENT</t>
  </si>
  <si>
    <t>REVENUE</t>
  </si>
  <si>
    <t>Total Revenue</t>
  </si>
  <si>
    <t>Gross Margin</t>
  </si>
  <si>
    <t>Gross Margin %</t>
  </si>
  <si>
    <t>OPERATING EXPENSES</t>
  </si>
  <si>
    <t>Total Expenses</t>
  </si>
  <si>
    <t>Depreciation</t>
  </si>
  <si>
    <t>Net Income</t>
  </si>
  <si>
    <t>Interest Expense</t>
  </si>
  <si>
    <t>Interest Income</t>
  </si>
  <si>
    <t>BALANCE SHEET</t>
  </si>
  <si>
    <t>ASSETS</t>
  </si>
  <si>
    <t>Cash</t>
  </si>
  <si>
    <t>Deposits</t>
  </si>
  <si>
    <t>Current Assets</t>
  </si>
  <si>
    <t>Total Current Assets</t>
  </si>
  <si>
    <t>Fixed Assets</t>
  </si>
  <si>
    <t>Computer Equipment</t>
  </si>
  <si>
    <t>Total Fixed Assets</t>
  </si>
  <si>
    <t>Total Assets</t>
  </si>
  <si>
    <t>LIABILITIES</t>
  </si>
  <si>
    <t>Current Liabilities</t>
  </si>
  <si>
    <t>Total Current Liabilities</t>
  </si>
  <si>
    <t>Inventory</t>
  </si>
  <si>
    <t>Long Term Liabilities</t>
  </si>
  <si>
    <t>Total Long Term Liabilities</t>
  </si>
  <si>
    <t>Total Liabilities</t>
  </si>
  <si>
    <t>EQUITY</t>
  </si>
  <si>
    <t>Common Stock</t>
  </si>
  <si>
    <t>Retained Earnings</t>
  </si>
  <si>
    <t>Total Equity</t>
  </si>
  <si>
    <t>Total Liabilities &amp; Equity</t>
  </si>
  <si>
    <t>Difference</t>
  </si>
  <si>
    <t>CASH FLOW</t>
  </si>
  <si>
    <t>Net income</t>
  </si>
  <si>
    <t>Add: Depreciation</t>
  </si>
  <si>
    <t>Increase/Decrease</t>
  </si>
  <si>
    <t>Beginning Cash Balance</t>
  </si>
  <si>
    <t>Ending Cash Balance</t>
  </si>
  <si>
    <t>Total Depreciation</t>
  </si>
  <si>
    <t>P</t>
  </si>
  <si>
    <t>Purchase</t>
  </si>
  <si>
    <t>Total Computer Equipment Purchased</t>
  </si>
  <si>
    <t>Total Computer Equipment Leased</t>
  </si>
  <si>
    <t>% of Receivables Financed</t>
  </si>
  <si>
    <t>% of Inventory Financed</t>
  </si>
  <si>
    <t>% of Fixed Assets Financed</t>
  </si>
  <si>
    <t>Interest Rate</t>
  </si>
  <si>
    <t>Term (Months)</t>
  </si>
  <si>
    <t>Lease Rate Factor</t>
  </si>
  <si>
    <t>Receivables</t>
  </si>
  <si>
    <t>Fixed Asset Financing</t>
  </si>
  <si>
    <t>Inventory Financing</t>
  </si>
  <si>
    <t>Receivables Financing</t>
  </si>
  <si>
    <t>Fixed Assets Leased</t>
  </si>
  <si>
    <t>% of Fixed Assets Leased (Capital lease)</t>
  </si>
  <si>
    <t>Accum. Depreciation</t>
  </si>
  <si>
    <t>Revolving Line of Credit</t>
  </si>
  <si>
    <t>Equity Contribution</t>
  </si>
  <si>
    <t>Preferred Stock - Series A</t>
  </si>
  <si>
    <t>Preferred Stock - Series B</t>
  </si>
  <si>
    <t>Preferred Stock - Series C</t>
  </si>
  <si>
    <t>Total Equity Contributed</t>
  </si>
  <si>
    <t>Operating Lease</t>
  </si>
  <si>
    <t>Capital Lease</t>
  </si>
  <si>
    <t>or *Lease</t>
  </si>
  <si>
    <t>Operating Expenses</t>
  </si>
  <si>
    <t>Capital Lease Payments</t>
  </si>
  <si>
    <t>Total Furnishings Purchased</t>
  </si>
  <si>
    <t>Total Furnishings Leased</t>
  </si>
  <si>
    <t>Total Fixed Assets Purchased</t>
  </si>
  <si>
    <t>Total Fixed Assets Leased</t>
  </si>
  <si>
    <t>Interest</t>
  </si>
  <si>
    <t>Principal</t>
  </si>
  <si>
    <t>Total Monthly Payment</t>
  </si>
  <si>
    <t>Cash Balance</t>
  </si>
  <si>
    <t>Remaining Loan Balance</t>
  </si>
  <si>
    <t>Cumulative Principal Payments Made</t>
  </si>
  <si>
    <t>(Inc) Dec in Current Assets</t>
  </si>
  <si>
    <t>(Inc) Dec in Fixed Assets</t>
  </si>
  <si>
    <t>Inc (Dec) in Current Liabilities</t>
  </si>
  <si>
    <t>Principal Amount</t>
  </si>
  <si>
    <t>Interest Only? (Y or N)</t>
  </si>
  <si>
    <t>N</t>
  </si>
  <si>
    <t>Total Payment</t>
  </si>
  <si>
    <t>Principal Portion of Payment</t>
  </si>
  <si>
    <t>Interest Portion of Payment</t>
  </si>
  <si>
    <t>Beginning Loan Balance</t>
  </si>
  <si>
    <t>Less Principal Payment</t>
  </si>
  <si>
    <t>Increase In Funding</t>
  </si>
  <si>
    <t xml:space="preserve">Net Cash Flow </t>
  </si>
  <si>
    <t>Inc(Dec) in Long Term Liabilities</t>
  </si>
  <si>
    <t>Total Line of Credit Financing</t>
  </si>
  <si>
    <t>GROSS MARGIN</t>
  </si>
  <si>
    <t xml:space="preserve">    Total Current Assets</t>
  </si>
  <si>
    <t xml:space="preserve">    Total Fixed Assets</t>
  </si>
  <si>
    <t xml:space="preserve">    Total Equity</t>
  </si>
  <si>
    <t>Total Equity &amp; Liability</t>
  </si>
  <si>
    <t>(difference)</t>
  </si>
  <si>
    <t>Net Income (Loss)</t>
  </si>
  <si>
    <t>Add Back: Depreciation</t>
  </si>
  <si>
    <t>Changes in Working Capital</t>
  </si>
  <si>
    <t>Cash Flow From Operations</t>
  </si>
  <si>
    <t>Net Cash Flow</t>
  </si>
  <si>
    <t>ENDING CASH BALANCE</t>
  </si>
  <si>
    <t>5 Year Income Statement Projection</t>
  </si>
  <si>
    <t>Revenue</t>
  </si>
  <si>
    <t xml:space="preserve">    Total Current Liabilities</t>
  </si>
  <si>
    <t>Operating Income</t>
  </si>
  <si>
    <r>
      <t>Cumulative</t>
    </r>
    <r>
      <rPr>
        <sz val="12"/>
        <rFont val="Arial"/>
        <family val="2"/>
      </rPr>
      <t xml:space="preserve"> Net Income (Loss)</t>
    </r>
  </si>
  <si>
    <t>Start Month (1-12)</t>
  </si>
  <si>
    <t>Total LOC Interest Paid</t>
  </si>
  <si>
    <t>Computer Equipment Leased</t>
  </si>
  <si>
    <t>Furnishings Leased</t>
  </si>
  <si>
    <t>Monthly Lease Payment</t>
  </si>
  <si>
    <t>Total Leased Equipment</t>
  </si>
  <si>
    <t>EQUITY FUNDING</t>
  </si>
  <si>
    <t>DEBT FUNDING - Page 1</t>
  </si>
  <si>
    <t>DEBT FUNDING - Page 2</t>
  </si>
  <si>
    <t>BURN RATE - Chart</t>
  </si>
  <si>
    <t>Month</t>
  </si>
  <si>
    <t>(Dollars)</t>
  </si>
  <si>
    <t>*Lease - Use "L" if title remains with the Lessor (operating Lease).  If title passes to the Lessee, use the capital lease option in the "Funding" section of this model.</t>
  </si>
  <si>
    <t>Inc (Dec) in L/T Liabilities</t>
  </si>
  <si>
    <t>Undefined Equity</t>
  </si>
  <si>
    <t>Equipment Purchases</t>
  </si>
  <si>
    <t>Operating Plan</t>
  </si>
  <si>
    <t>Total Headcount</t>
  </si>
  <si>
    <t>Salary</t>
  </si>
  <si>
    <t>Salaries</t>
  </si>
  <si>
    <t>HEADCOUNT UNITS</t>
  </si>
  <si>
    <t>Total Salaries</t>
  </si>
  <si>
    <t>New Hire Computers</t>
  </si>
  <si>
    <t>Benefits</t>
  </si>
  <si>
    <t>Accounting</t>
  </si>
  <si>
    <t>Consulting Contracts</t>
  </si>
  <si>
    <t>Copy Services/Printing</t>
  </si>
  <si>
    <t>Equipment Leases</t>
  </si>
  <si>
    <t>Legal</t>
  </si>
  <si>
    <t>License/Permits/Fees</t>
  </si>
  <si>
    <t>Office Supplies</t>
  </si>
  <si>
    <t>Rent</t>
  </si>
  <si>
    <t>Software Licenses/Books</t>
  </si>
  <si>
    <t>Telecommunications</t>
  </si>
  <si>
    <t>Trade Shows/Seminars/Demo</t>
  </si>
  <si>
    <t>Travel &amp; Entertainment</t>
  </si>
  <si>
    <t>Non-Capitalized Equipment</t>
  </si>
  <si>
    <t>Beginning</t>
  </si>
  <si>
    <t>Balance</t>
  </si>
  <si>
    <t>Furniture &amp; Fixtures</t>
  </si>
  <si>
    <t>Line of Credit</t>
  </si>
  <si>
    <t xml:space="preserve">Net Margin </t>
  </si>
  <si>
    <t>Prior</t>
  </si>
  <si>
    <t>Year End</t>
  </si>
  <si>
    <t xml:space="preserve">Net Income </t>
  </si>
  <si>
    <t>Net Margin</t>
  </si>
  <si>
    <t>Net/Net Margin</t>
  </si>
  <si>
    <t>Notes Payable</t>
  </si>
  <si>
    <t>Miscellaneous</t>
  </si>
  <si>
    <t>Photocopier</t>
  </si>
  <si>
    <t>Fax Machine</t>
  </si>
  <si>
    <t>Phone System</t>
  </si>
  <si>
    <t>Office Furniture</t>
  </si>
  <si>
    <t>Wall Art</t>
  </si>
  <si>
    <t>Signage</t>
  </si>
  <si>
    <t>Conference Room</t>
  </si>
  <si>
    <t>Network Mgmt/ISP</t>
  </si>
  <si>
    <t>-&gt; Misc/Contingency</t>
  </si>
  <si>
    <t>Servers</t>
  </si>
  <si>
    <t>Databases</t>
  </si>
  <si>
    <t>Networking Equip</t>
  </si>
  <si>
    <t>Printers</t>
  </si>
  <si>
    <t>Employee Related</t>
  </si>
  <si>
    <t>Facilities</t>
  </si>
  <si>
    <t>Administrative</t>
  </si>
  <si>
    <t>Business Metrics</t>
  </si>
  <si>
    <t xml:space="preserve">This is only a projection of resource needs as can best be estimated at this time.  </t>
  </si>
  <si>
    <t>Actual need and purchases made may differ from those projected here.</t>
  </si>
  <si>
    <t>The following spreadsheet details the expected headcount and insurable values for the company over the next two years.</t>
  </si>
  <si>
    <t>START-UP</t>
  </si>
  <si>
    <t>EMERGING GROWTH COMPANY (cont'd)</t>
  </si>
  <si>
    <t>Worker's Compensation</t>
  </si>
  <si>
    <t>Travel Accident Insurance</t>
  </si>
  <si>
    <t>Group Medical, Life &amp; Disability</t>
  </si>
  <si>
    <t>Business Income/Extra Expense</t>
  </si>
  <si>
    <t>Personal Injury</t>
  </si>
  <si>
    <t>Business Interuption Coverage</t>
  </si>
  <si>
    <t>Professional Liability</t>
  </si>
  <si>
    <t>Off Premises Disruption of Utilities</t>
  </si>
  <si>
    <t>General Liability ($1,000,000)</t>
  </si>
  <si>
    <t>Contingent Business Income</t>
  </si>
  <si>
    <t>Property and Office Location</t>
  </si>
  <si>
    <t>Extended Period of Indemnity</t>
  </si>
  <si>
    <t>Premises/Operations</t>
  </si>
  <si>
    <t>Earthquake &amp; Flood</t>
  </si>
  <si>
    <t>Loss of Project Documentation/Valuable Papers</t>
  </si>
  <si>
    <t>Earthquake Sprinkler Leakage</t>
  </si>
  <si>
    <t>Non-Owned and Hired Auto Liability</t>
  </si>
  <si>
    <t>Mechanical Breakdown/Boiler &amp; Machinery</t>
  </si>
  <si>
    <t>Extra Expense</t>
  </si>
  <si>
    <t>Valuable Papers - Accounts Receivable</t>
  </si>
  <si>
    <t>R&amp;D Documents</t>
  </si>
  <si>
    <t>EMERGING GROWTH COMPANY</t>
  </si>
  <si>
    <t>Research Animals</t>
  </si>
  <si>
    <t>Advertising Liability</t>
  </si>
  <si>
    <t>Polution/Contamination</t>
  </si>
  <si>
    <t>Trade Show</t>
  </si>
  <si>
    <t>Employee Fidelity</t>
  </si>
  <si>
    <t>Salespersons' Samples</t>
  </si>
  <si>
    <t>Auto Liability and Physical Damage</t>
  </si>
  <si>
    <t>Property in Transit</t>
  </si>
  <si>
    <t>Fiduciary Liability</t>
  </si>
  <si>
    <t>Damage to Rental Cars</t>
  </si>
  <si>
    <t>Product Liability</t>
  </si>
  <si>
    <t>Non-Owned/Hired Auto Liability</t>
  </si>
  <si>
    <t>Additional General Liability</t>
  </si>
  <si>
    <t>Broad Form Drive Other Car (D.O.C.)</t>
  </si>
  <si>
    <t>Aircraft/Watercraft</t>
  </si>
  <si>
    <t>Property at Other Location (incl. Foreign Property)</t>
  </si>
  <si>
    <t>Polution/Toxic Waste</t>
  </si>
  <si>
    <t>Patent (Intellectual Property) Litigation Coverage</t>
  </si>
  <si>
    <t>Credit Insurance</t>
  </si>
  <si>
    <t>INITIAL PUBLIC OFFERING</t>
  </si>
  <si>
    <t>Electronics E&amp;O</t>
  </si>
  <si>
    <t>Directors &amp; Officers Liability</t>
  </si>
  <si>
    <t>Damage to Insured's Products</t>
  </si>
  <si>
    <t>Profesional Liability (Electronics E&amp;O or Software E&amp;O)</t>
  </si>
  <si>
    <t>Product Recall/Contamination</t>
  </si>
  <si>
    <t>Extortion, Kidnap &amp; Ransom Insurance</t>
  </si>
  <si>
    <t>Computer Fraud</t>
  </si>
  <si>
    <t>Employee Dishonesty</t>
  </si>
  <si>
    <t>Political Risk/Expropriation Coverage</t>
  </si>
  <si>
    <t>Employee Benefits Liability</t>
  </si>
  <si>
    <t>Key Employee Insurance</t>
  </si>
  <si>
    <t>Employment Related Practices</t>
  </si>
  <si>
    <t>Building Code Updating</t>
  </si>
  <si>
    <t>OTHER</t>
  </si>
  <si>
    <t>Any other coverage you believe to be necessary for this company.</t>
  </si>
  <si>
    <t>Headcount</t>
  </si>
  <si>
    <t>Square Feet/Employee</t>
  </si>
  <si>
    <t>*Note - Verify that all employees listed will be resident in the main facility on a full time basis.</t>
  </si>
  <si>
    <t>Ratios</t>
  </si>
  <si>
    <t>Quick Ratio</t>
  </si>
  <si>
    <t>Accounts Payable</t>
  </si>
  <si>
    <t>Current Ratio</t>
  </si>
  <si>
    <t>Debt/Equity</t>
  </si>
  <si>
    <t>Debt</t>
  </si>
  <si>
    <t>Equity</t>
  </si>
  <si>
    <t>Debt/Equity Ratio</t>
  </si>
  <si>
    <t>Monthly Profitability</t>
  </si>
  <si>
    <t>Cumulative Net Income</t>
  </si>
  <si>
    <t>FINANCIAL RATIO FORECAST - Line of Credit Conforming Ratios</t>
  </si>
  <si>
    <t>FACILITIES - Square Footage Required</t>
  </si>
  <si>
    <t>INSURANCE - Checklist</t>
  </si>
  <si>
    <t>HEADCOUNT FORECAST</t>
  </si>
  <si>
    <t>Approximate Building Size (Square Feet)</t>
  </si>
  <si>
    <t>IPO Due Diligence Checklist</t>
  </si>
  <si>
    <t>¨</t>
  </si>
  <si>
    <t>GENERAL CORPORATE MATERIALS</t>
  </si>
  <si>
    <t>Minutes of Stockholders Meetings</t>
  </si>
  <si>
    <t>Minutes of Board Meetings</t>
  </si>
  <si>
    <t>Minutes of permanent committees of the Board</t>
  </si>
  <si>
    <t>Authiorizing resolutions pertaining to the public offering</t>
  </si>
  <si>
    <t>Officer and Director Lists</t>
  </si>
  <si>
    <t>Management structure organization chart</t>
  </si>
  <si>
    <t>Stockholders List including optionees and warrant holders (# of shares, dates issued, consideration paid)</t>
  </si>
  <si>
    <t>Information regarding subsidiaries</t>
  </si>
  <si>
    <t>Information regarding joint ventures or partnerships</t>
  </si>
  <si>
    <t>Agreements relating to mergers, acquisition or dispositions</t>
  </si>
  <si>
    <t>Stock Records, stock ledgersand any other evidence of securities authorized and issued</t>
  </si>
  <si>
    <t>Agreements relating to the purchase,m repurchase, sale or issuance of securities (incl. oral commitments)</t>
  </si>
  <si>
    <t>Agreements relating to voting of securities and restrictive share transfers</t>
  </si>
  <si>
    <t>Agreements relating to preemptive or other preferential rights to acquire securities and any waivers thereof</t>
  </si>
  <si>
    <t>Agreements relating to registration rights</t>
  </si>
  <si>
    <t>Evidence of qualification or exemption  under applicable fed &amp; state blue sky laws</t>
  </si>
  <si>
    <t>Documents relating to any conversation, recapitalization, reorganization or significant restructuring of the company</t>
  </si>
  <si>
    <t>LITIGATION</t>
  </si>
  <si>
    <t>Any litigation, claims and proceedings settled or concluded, including those of any predecessor corporations or subs</t>
  </si>
  <si>
    <t>Any litigation, claims, proceedings threatened or pending.  Include potential itigation, e.g. employee</t>
  </si>
  <si>
    <t>Any consent decrees, injunctions, judgements or other decrees or orders, settlement agreements or similar matters.</t>
  </si>
  <si>
    <t>All attorney's letters to auditors, including predecessor corporations, subs, etc.</t>
  </si>
  <si>
    <t>COMPLIANCE WITH LAWS</t>
  </si>
  <si>
    <t>Any citations and notices received from government agencies.</t>
  </si>
  <si>
    <t>Any pending or threatened investigation by government agencies</t>
  </si>
  <si>
    <t>All material government permits, licenses, etc. domestic, foreign, provincial or local</t>
  </si>
  <si>
    <t>Evidence of exemptions from above permits</t>
  </si>
  <si>
    <t>All documents filed with the SEC or any state or foreign securities regulatory agency, if any</t>
  </si>
  <si>
    <t>Any material reports/correspondent with any government entity, including EPA, OSHA.</t>
  </si>
  <si>
    <t>MANAGEMENT AND EMPLOYEES</t>
  </si>
  <si>
    <t>Employee benefit &amp; Profit sharing plans, stock option, repurchase, deferred comp, bonus plans or arrangements</t>
  </si>
  <si>
    <t>All employee benefit plans - life, health insurance, medical reimbursement, etc.</t>
  </si>
  <si>
    <t>Descrition of all perquisites</t>
  </si>
  <si>
    <t>Officers and Directors Questionnaires</t>
  </si>
  <si>
    <t>Contracts with unions and other labor agreements</t>
  </si>
  <si>
    <t>Loans to and guarantees for the benefit of directors, officers or employees</t>
  </si>
  <si>
    <t>"Key Person" insurance policies</t>
  </si>
  <si>
    <t>Listing of employees by office or department</t>
  </si>
  <si>
    <t>Affiliation agreements with advertising agencies or public relations firms</t>
  </si>
  <si>
    <t>Stock ownership of Directors and the five most highly compensated officers</t>
  </si>
  <si>
    <t>REAL PROPERTY</t>
  </si>
  <si>
    <t>Other interests in real property</t>
  </si>
  <si>
    <t xml:space="preserve">Documents showing certification of compliance with or deficiency with respect to regulatory standards of the company. </t>
  </si>
  <si>
    <t>Financiang Leases and lease-back arrangements</t>
  </si>
  <si>
    <t>Conditional sale agreements</t>
  </si>
  <si>
    <t>Equipment leases</t>
  </si>
  <si>
    <t>PATENT &amp; TRADEMARK MATTERS</t>
  </si>
  <si>
    <t>Listing of all foreign and domestic patents, patent apps, copyrights, patent licenses and copyright licenses</t>
  </si>
  <si>
    <t>List of any trademarks, trademark applications, trade names or service marks</t>
  </si>
  <si>
    <t>Claims of infringement on others patents, copyrights or other proprietary rights</t>
  </si>
  <si>
    <t>DEBT FINANCING</t>
  </si>
  <si>
    <t>All debt instruments, credit agreements and guarantees entered into by the company which are currently in effect.</t>
  </si>
  <si>
    <t>All material correspondence with lenders, including compliance reports submitted to the company or its CPA firm</t>
  </si>
  <si>
    <t>Any loans or guarantees of third party obligations</t>
  </si>
  <si>
    <t>Any agreements restricting the payment of cash dividends</t>
  </si>
  <si>
    <t>OTHER AGREEMENTS</t>
  </si>
  <si>
    <t>Marketing Agreements</t>
  </si>
  <si>
    <t>Management and service agreements</t>
  </si>
  <si>
    <t>Forms of secrecy, confidentiality and nondisclosure agreements</t>
  </si>
  <si>
    <t>Contracts outside the ordinary course of business</t>
  </si>
  <si>
    <t>Indemnification contracts and similar arrangement for officers and directors</t>
  </si>
  <si>
    <t>Agreements with officers, directors and sffiliated perties</t>
  </si>
  <si>
    <t>Any agreements with competitors</t>
  </si>
  <si>
    <t>Any agreements with governmental agencies or institutions</t>
  </si>
  <si>
    <t>Any agreements restricting the companies right to compete or other agreements material to the business</t>
  </si>
  <si>
    <t>Any material insurance agreements</t>
  </si>
  <si>
    <t>Agreements requiring consents or approvals or resulting in changes in rights in connection with change of control</t>
  </si>
  <si>
    <t>FINANCIAL INFORMATION</t>
  </si>
  <si>
    <t>Audited financial statements</t>
  </si>
  <si>
    <t>Interim financial statements</t>
  </si>
  <si>
    <t>Budget plan including revisions to date for the current fiscal year</t>
  </si>
  <si>
    <t>The company's long-range strategic plan and any other documents concerning its long-range plans, and compliance info</t>
  </si>
  <si>
    <t>Disclosure documents used in provate placements</t>
  </si>
  <si>
    <t>Any other material agreements with creditors</t>
  </si>
  <si>
    <t>Significant correspondence with CPA's including management letters</t>
  </si>
  <si>
    <t>Reports, studies,projections prepared by management</t>
  </si>
  <si>
    <t>Reports and studins prepared by outside consultants on the company's financial condition</t>
  </si>
  <si>
    <t>Reports or materials prepared for the company's Board of Directors or a committee thereof</t>
  </si>
  <si>
    <t>Contracts with investment bankers and brokers</t>
  </si>
  <si>
    <t>TAX MATTERS</t>
  </si>
  <si>
    <t>Federal, state and local tax returns</t>
  </si>
  <si>
    <t>Audit adjustments as proposed by the IRS</t>
  </si>
  <si>
    <t>ACQUISITIONS/DIVESTITURES</t>
  </si>
  <si>
    <t>Acquisitions or divestitures including related documentation</t>
  </si>
  <si>
    <t>Current plans or negotiations relating to potential acquisitons or divestitures</t>
  </si>
  <si>
    <t>Annual reports or other reports and commnications with stockholders, employees, suppliers and customers</t>
  </si>
  <si>
    <t>Advertising, marketing and other selling materials</t>
  </si>
  <si>
    <t>Analyst reports</t>
  </si>
  <si>
    <t>MISCELLANEOUS</t>
  </si>
  <si>
    <t>Supply copies of all market research or marketing studies concerning the company's business conducted</t>
  </si>
  <si>
    <t>Significant agreements currently in draft stage</t>
  </si>
  <si>
    <t>CORPORATE ORGANIZATION</t>
  </si>
  <si>
    <t>CAPITAL STOCK</t>
  </si>
  <si>
    <t>Employee agreements and Consulting Contracts</t>
  </si>
  <si>
    <t>Deeds and Leases of real property</t>
  </si>
  <si>
    <t>IPO Due Diligence Checklist Cont.</t>
  </si>
  <si>
    <t>Total Employees</t>
  </si>
  <si>
    <t>Seed</t>
  </si>
  <si>
    <t>Type</t>
  </si>
  <si>
    <t>(Post)</t>
  </si>
  <si>
    <t>Common</t>
  </si>
  <si>
    <t>Price per share</t>
  </si>
  <si>
    <t>Valuation</t>
  </si>
  <si>
    <t>Shares</t>
  </si>
  <si>
    <t>Pfd A</t>
  </si>
  <si>
    <t>Total Round 1</t>
  </si>
  <si>
    <t>Pfd B</t>
  </si>
  <si>
    <t>Total Round 2</t>
  </si>
  <si>
    <t>Total Shares Issued</t>
  </si>
  <si>
    <t>Amount</t>
  </si>
  <si>
    <t>Raised $</t>
  </si>
  <si>
    <t>STOCK DISTRIBUTION</t>
  </si>
  <si>
    <t>CONSULTANTS &amp; CONTRACTORS</t>
  </si>
  <si>
    <t>Total Consultants</t>
  </si>
  <si>
    <t>L</t>
  </si>
  <si>
    <t>Sales Commissions</t>
  </si>
  <si>
    <t>5 Year Balance Sheet Projection</t>
  </si>
  <si>
    <t>5 Year Cash Flow Projection</t>
  </si>
  <si>
    <t>Seed %</t>
  </si>
  <si>
    <t>Rnd 1 %</t>
  </si>
  <si>
    <t>Rnd 2 %</t>
  </si>
  <si>
    <t>Stage / Stockholder</t>
  </si>
  <si>
    <t>Milestones:</t>
  </si>
  <si>
    <t>Dues &amp; Subscriptions</t>
  </si>
  <si>
    <t>Trade Show Booth(s)</t>
  </si>
  <si>
    <t>Branding, Ad Agency</t>
  </si>
  <si>
    <t>CFO</t>
  </si>
  <si>
    <t>Total Seed Funding</t>
  </si>
  <si>
    <t>Consultant #2</t>
  </si>
  <si>
    <t>Building Repairs</t>
  </si>
  <si>
    <t>PropertyTaxes</t>
  </si>
  <si>
    <t>Bank Service Fees</t>
  </si>
  <si>
    <t>Marketing Materials (Corp)</t>
  </si>
  <si>
    <t>Employee Incentives</t>
  </si>
  <si>
    <t>Contributions</t>
  </si>
  <si>
    <t>Auto Expense</t>
  </si>
  <si>
    <t>Depreciation/Amort</t>
  </si>
  <si>
    <t>Vehicles</t>
  </si>
  <si>
    <t>Additional Paid-in Capital</t>
  </si>
  <si>
    <t>Total Cost of Sales</t>
  </si>
  <si>
    <t>COO</t>
  </si>
  <si>
    <t>Employee Stock Options</t>
  </si>
  <si>
    <t>24 Month + 5 Year Forecast</t>
  </si>
  <si>
    <t>Total Units Sold</t>
  </si>
  <si>
    <t>SALES FORECAST</t>
  </si>
  <si>
    <t>Administrator</t>
  </si>
  <si>
    <t>President</t>
  </si>
  <si>
    <t>Total Cost of Goods Sold</t>
  </si>
  <si>
    <t>COST OF GOODS SOLD</t>
  </si>
  <si>
    <t>VP Marketing</t>
  </si>
  <si>
    <t>Product 6</t>
  </si>
  <si>
    <t>Product 7</t>
  </si>
  <si>
    <t>Product 8</t>
  </si>
  <si>
    <t>Company Name</t>
  </si>
  <si>
    <t>HEADCOUNT UNITS AND SALARIES</t>
  </si>
  <si>
    <t>HEADCOUNT SALARIES</t>
  </si>
  <si>
    <t>Insurance - Liab/Prop</t>
  </si>
  <si>
    <t>COMPUTERS</t>
  </si>
  <si>
    <t>FURNITURE &amp; FIXTURES</t>
  </si>
  <si>
    <t>Total Employee Related</t>
  </si>
  <si>
    <t>Total Advertising/Promo</t>
  </si>
  <si>
    <t>Total Facilities</t>
  </si>
  <si>
    <t>Total Administrative</t>
  </si>
  <si>
    <t>Prepared By:</t>
  </si>
  <si>
    <t>Phone:</t>
  </si>
  <si>
    <t>Fax:</t>
  </si>
  <si>
    <t>Email:</t>
  </si>
  <si>
    <t>Total Salaries &amp; Consultants Fees</t>
  </si>
  <si>
    <t>Total Consultants Fees</t>
  </si>
  <si>
    <t>Start Month (13-24)</t>
  </si>
  <si>
    <t>Founder</t>
  </si>
  <si>
    <t>Vice President</t>
  </si>
  <si>
    <t>Chief Financial Officer</t>
  </si>
  <si>
    <t>Undefined</t>
  </si>
  <si>
    <t>Reception Desk</t>
  </si>
  <si>
    <t>Names</t>
  </si>
  <si>
    <r>
      <t xml:space="preserve">COST OF SALES </t>
    </r>
    <r>
      <rPr>
        <sz val="14"/>
        <rFont val="Arial"/>
        <family val="2"/>
      </rPr>
      <t>(%)</t>
    </r>
  </si>
  <si>
    <t>Computer Cost Per New Hire</t>
  </si>
  <si>
    <t>Note Payable</t>
  </si>
  <si>
    <t>R&amp;D Complete</t>
  </si>
  <si>
    <t>nature of the model is understood.</t>
  </si>
  <si>
    <t>The entire model presents in landscape mode.</t>
  </si>
  <si>
    <t>pure start-ups or ongoing businesses).</t>
  </si>
  <si>
    <t>This is a flexible model allowing the user to modify any format they desire to customize for individual use.</t>
  </si>
  <si>
    <t>Overwriting the wrong cells will produce an out-of-balance condition on the balance sheet statement (Financials worksheet, Page 3 &amp; 4).</t>
  </si>
  <si>
    <t>The user may want to refer to the last line on the balance sheet (Difference) from time to time to verify model integrity. Difference should equal zero.</t>
  </si>
  <si>
    <t>The user can input 12 months of history, then model 12 months of forecast, or can model all 24 months as forecast.</t>
  </si>
  <si>
    <t xml:space="preserve">A beginning balance sheet column is used for companies already showing balance sheet history.  (The model can be used for </t>
  </si>
  <si>
    <t>All debt and equity funding scenarios automatically alter the financial statements.</t>
  </si>
  <si>
    <t xml:space="preserve">There are no hidden or protected cells columns or rows, no macros, no named ranges.  All schedules will print out using the standard </t>
  </si>
  <si>
    <t>All numeric changes to the model back into cash on the balance sheet, via the cash flow statement.</t>
  </si>
  <si>
    <t>The primary use of this model is to determine the amount of cash a company will require to fund its operations.  The user may want to watch</t>
  </si>
  <si>
    <t>the cash balance chart (Financials Tab, page 7 &amp; 8) as the model is created.</t>
  </si>
  <si>
    <t>User uses this model at their own risk.  No fitness for use or specific accuracy is implied.</t>
  </si>
  <si>
    <t>This model does not necessarily conform to GAAP.  It is a management cash planning and budgeting tool.</t>
  </si>
  <si>
    <t>Any percentages or numbers remaining in the model template are not to be relied on as accurate.</t>
  </si>
  <si>
    <t>COVER SHEET</t>
  </si>
  <si>
    <t>EQUIPMENT (FIXED ASSETS)</t>
  </si>
  <si>
    <t>OPERATIONS PLANNING MODEL</t>
  </si>
  <si>
    <t>INSTRUCTIONS FOR USE</t>
  </si>
  <si>
    <t>generally not affect the worksheets to the left of the deleted sheet.</t>
  </si>
  <si>
    <t>Entering the "Company Name" and "Draft #" on the cover sheet puts these designations on all worksheets.</t>
  </si>
  <si>
    <t>This is an operations planning model that does not model after-tax scenarios.  The user can modify it to report after tax if that is their intended use.</t>
  </si>
  <si>
    <t xml:space="preserve">Changing the months at the top of the "Headcount" schedule (blue text) modifies all months throughout the plan.  (User can stay with Month 1, Month 2, etc </t>
  </si>
  <si>
    <t>The entire model can be previewed and printed by selecting File, Print, Entire Workbook and either Preview or Print.</t>
  </si>
  <si>
    <t xml:space="preserve">Generally speaking, the model flows through the worksheet tabs from left to right.  That is, deleting the worksheets to the right will </t>
  </si>
  <si>
    <t>File, Print commands.  All schedules with which you work will print out using the printer icon on the toolbar.</t>
  </si>
  <si>
    <r>
      <t xml:space="preserve">Please be aware that the model shows individual employee salaries.  </t>
    </r>
    <r>
      <rPr>
        <b/>
        <u val="single"/>
        <sz val="14"/>
        <rFont val="Arial"/>
        <family val="2"/>
      </rPr>
      <t>Treat this plan as confidential material if used for a real company</t>
    </r>
    <r>
      <rPr>
        <b/>
        <sz val="14"/>
        <rFont val="Arial"/>
        <family val="2"/>
      </rPr>
      <t>.</t>
    </r>
  </si>
  <si>
    <t>EXPENSE BUDGET</t>
  </si>
  <si>
    <t>%</t>
  </si>
  <si>
    <t>This model consists of 35 pages of financial and metric schedules for forecasting the start-up or ongoing business activity.</t>
  </si>
  <si>
    <t>SALES PRICE PER UNIT (Table)</t>
  </si>
  <si>
    <t>STAGED VALUATION</t>
  </si>
  <si>
    <t>Founders</t>
  </si>
  <si>
    <t>Pre-Money</t>
  </si>
  <si>
    <t>Post Money</t>
  </si>
  <si>
    <t>Total Valuation</t>
  </si>
  <si>
    <t>Stage Investment</t>
  </si>
  <si>
    <t>Post Money Valuation</t>
  </si>
  <si>
    <t>RETURN ON EQUITY</t>
  </si>
  <si>
    <t>Ownership</t>
  </si>
  <si>
    <t>Share Value</t>
  </si>
  <si>
    <t>A Round</t>
  </si>
  <si>
    <t>B Round</t>
  </si>
  <si>
    <t>C Round</t>
  </si>
  <si>
    <t>Pfd C</t>
  </si>
  <si>
    <t>Post-Money</t>
  </si>
  <si>
    <t>TABLE DATA FOR CHART</t>
  </si>
  <si>
    <t>NPV:</t>
  </si>
  <si>
    <t>Discount Rate:</t>
  </si>
  <si>
    <t>Term:</t>
  </si>
  <si>
    <t>60 Months</t>
  </si>
  <si>
    <t>VALUATION PROOF</t>
  </si>
  <si>
    <t>Annual Net Cash Produced:</t>
  </si>
  <si>
    <r>
      <t xml:space="preserve">Stage Value Add - </t>
    </r>
    <r>
      <rPr>
        <b/>
        <sz val="14"/>
        <rFont val="Arial MT"/>
        <family val="0"/>
      </rPr>
      <t>Growth Multiple</t>
    </r>
  </si>
  <si>
    <t>Exit Valuation</t>
  </si>
  <si>
    <t>IPO %</t>
  </si>
  <si>
    <t>A Round Investors</t>
  </si>
  <si>
    <t>B Round Investors</t>
  </si>
  <si>
    <t>C Round Investors</t>
  </si>
  <si>
    <t>Accounts Receivable (30)</t>
  </si>
  <si>
    <t>Inventory (2 mo)</t>
  </si>
  <si>
    <t>Total Round 3</t>
  </si>
  <si>
    <t>Questions and fixes can be reported to Ron Johnson at 916-524-3999 or email to:</t>
  </si>
  <si>
    <t>or change all schedules to Jan, Feb, etc. or any month designation desired).</t>
  </si>
  <si>
    <t>Product 1</t>
  </si>
  <si>
    <t>Product 2</t>
  </si>
  <si>
    <t>Product 3</t>
  </si>
  <si>
    <t>Product 4</t>
  </si>
  <si>
    <t>Product 5</t>
  </si>
  <si>
    <t>Draft 1.0</t>
  </si>
  <si>
    <t>Suggested Approach:</t>
  </si>
  <si>
    <t>I find the best way to use this model is to start with what you know and make assumptions on what you don’t know.</t>
  </si>
  <si>
    <t xml:space="preserve">Get to a first pass that approximates operations going forward.  Then refine in successive passes.  This method will allow you to </t>
  </si>
  <si>
    <t>get the budget "in the ballpark" initially and will give you a chance to get familiar with the way the model works.</t>
  </si>
  <si>
    <t>Going to fine detail initially may prove to be a fruitless effort if major adjustments need to be made in successive passes.</t>
  </si>
  <si>
    <t>Patents Filed</t>
  </si>
  <si>
    <t>Partnership agreements signed</t>
  </si>
  <si>
    <t>Successful Beta site</t>
  </si>
  <si>
    <t>First 10 product sales</t>
  </si>
  <si>
    <t>Business and Operating Plan complete</t>
  </si>
  <si>
    <t>42% gross margin</t>
  </si>
  <si>
    <t>Successful product launch</t>
  </si>
  <si>
    <t>Production floor expansion complete</t>
  </si>
  <si>
    <t>Attend 3 trade shows</t>
  </si>
  <si>
    <t>Hire VP of Engineering</t>
  </si>
  <si>
    <t>50% gross margins</t>
  </si>
  <si>
    <t>Product updrade 1 complete</t>
  </si>
  <si>
    <t>New facility under contract</t>
  </si>
  <si>
    <t>Partner for market segment 3 under contract</t>
  </si>
  <si>
    <t>European expansion in place</t>
  </si>
  <si>
    <t>3 new products introduced</t>
  </si>
  <si>
    <t>Pfd B inventors identified</t>
  </si>
  <si>
    <t>Pfd C investors identified</t>
  </si>
  <si>
    <t>Pfd A investors identified</t>
  </si>
  <si>
    <t>CTO</t>
  </si>
  <si>
    <t>50% margins</t>
  </si>
  <si>
    <t>2 acquisitions complete</t>
  </si>
  <si>
    <t>$1 million in revenue</t>
  </si>
  <si>
    <t>$10 million in Renvnue</t>
  </si>
  <si>
    <t>$100 Million in sales</t>
  </si>
  <si>
    <t>Market domination</t>
  </si>
  <si>
    <t>BOD formed</t>
  </si>
  <si>
    <t>STAGE MILESTONES and OBJECTIVES</t>
  </si>
  <si>
    <t>Pro-forma BOD formed</t>
  </si>
  <si>
    <t>Total Expense</t>
  </si>
  <si>
    <t>Advertising, Promotion, &amp; Bus Dev</t>
  </si>
  <si>
    <r>
      <rPr>
        <b/>
        <sz val="14"/>
        <color indexed="12"/>
        <rFont val="Arial"/>
        <family val="2"/>
      </rPr>
      <t>User input is generally defined as blue text</t>
    </r>
    <r>
      <rPr>
        <sz val="14"/>
        <rFont val="Arial"/>
        <family val="0"/>
      </rPr>
      <t xml:space="preserve">.  Other cells can be overwritten with values or modified formulas once the general </t>
    </r>
  </si>
  <si>
    <t>ron@theinterimcontroller.com</t>
  </si>
  <si>
    <t>Actual</t>
  </si>
  <si>
    <t>Forecast</t>
  </si>
  <si>
    <t>UNITS FORECAST</t>
  </si>
  <si>
    <t>TOTAL SALES REVENUE</t>
  </si>
  <si>
    <t>MyCo</t>
  </si>
  <si>
    <t>Milestones -&gt;</t>
  </si>
  <si>
    <t>Production Supervisor</t>
  </si>
  <si>
    <t>Production Crew</t>
  </si>
  <si>
    <t>Director of Sales</t>
  </si>
  <si>
    <t>Sales - West Region</t>
  </si>
  <si>
    <t>Accountant</t>
  </si>
  <si>
    <t>Accounts Payable (7 days)</t>
  </si>
  <si>
    <t>Jan</t>
  </si>
  <si>
    <t>Feb</t>
  </si>
  <si>
    <t>Mar</t>
  </si>
  <si>
    <t>Apr</t>
  </si>
  <si>
    <t>May</t>
  </si>
  <si>
    <t>Jun</t>
  </si>
  <si>
    <t>Jul</t>
  </si>
  <si>
    <t>Aug</t>
  </si>
  <si>
    <t>Sep</t>
  </si>
  <si>
    <t>Oct</t>
  </si>
  <si>
    <t>Nov</t>
  </si>
  <si>
    <t>Dec</t>
  </si>
  <si>
    <t>Version 5.0</t>
  </si>
  <si>
    <t>BomarBrain@gmail.com</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</si>
</sst>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mm"/>
    <numFmt numFmtId="167" formatCode="_(* #,##0.0_);_(* \(#,##0.0\);_(* &quot;-&quot;??_);_(@_)"/>
    <numFmt numFmtId="168" formatCode="_(* #,##0_);_(* \(#,##0\);_(* &quot;-&quot;??_);_(@_)"/>
    <numFmt numFmtId="169" formatCode="_(* #,##0.000_);_(* \(#,##0.000\);_(* &quot;-&quot;??_);_(@_)"/>
    <numFmt numFmtId="170" formatCode="_(* #,##0.0000_);_(* \(#,##0.0000\);_(* &quot;-&quot;??_);_(@_)"/>
    <numFmt numFmtId="171" formatCode="_(* #,##0.00000_);_(* \(#,##0.00000\);_(* &quot;-&quot;??_);_(@_)"/>
    <numFmt numFmtId="172" formatCode="_(* #,##0.000000_);_(* \(#,##0.000000\);_(* &quot;-&quot;??_);_(@_)"/>
    <numFmt numFmtId="173" formatCode="0.0%"/>
    <numFmt numFmtId="174" formatCode="&quot;$&quot;#,##0.0_);[Red]\(&quot;$&quot;#,##0.0\)"/>
    <numFmt numFmtId="175" formatCode="0.00_)"/>
    <numFmt numFmtId="176" formatCode="0.0000_)"/>
    <numFmt numFmtId="177" formatCode="0.000%"/>
    <numFmt numFmtId="178" formatCode="#,##0.000"/>
    <numFmt numFmtId="179" formatCode="#,##0.0"/>
    <numFmt numFmtId="180" formatCode="_(&quot;$&quot;* #,##0.000_);_(&quot;$&quot;* \(#,##0.000\);_(&quot;$&quot;* &quot;-&quot;??_);_(@_)"/>
    <numFmt numFmtId="181" formatCode="_(&quot;$&quot;* #,##0.0_);_(&quot;$&quot;* \(#,##0.0\);_(&quot;$&quot;* &quot;-&quot;??_);_(@_)"/>
    <numFmt numFmtId="182" formatCode="_(&quot;$&quot;* #,##0_);_(&quot;$&quot;* \(#,##0\);_(&quot;$&quot;* &quot;-&quot;??_);_(@_)"/>
    <numFmt numFmtId="183" formatCode="0.00_);[Red]\(0.00\)"/>
    <numFmt numFmtId="184" formatCode="0_);\(0\)"/>
    <numFmt numFmtId="185" formatCode="0_);[Red]\(0\)"/>
    <numFmt numFmtId="186" formatCode="0.0"/>
    <numFmt numFmtId="187" formatCode="_(* #,##0.0_);_(* \(#,##0.0\);_(* &quot;-&quot;?_);_(@_)"/>
    <numFmt numFmtId="188" formatCode="#,##0.0_);\(#,##0.0\)"/>
    <numFmt numFmtId="189" formatCode="#,##0.000_);\(#,##0.000\)"/>
    <numFmt numFmtId="190" formatCode="#,##0.0000_);\(#,##0.0000\)"/>
    <numFmt numFmtId="191" formatCode="_(* #,##0.000_);_(* \(#,##0.000\);_(* &quot;-&quot;???_);_(@_)"/>
    <numFmt numFmtId="192" formatCode="_(* #,##0.0_);_(* \(#,##0.0\);_(* &quot;-&quot;_);_(@_)"/>
    <numFmt numFmtId="193" formatCode="&quot;$&quot;#,##0.00"/>
    <numFmt numFmtId="194" formatCode="&quot;$&quot;#,##0.0"/>
    <numFmt numFmtId="195" formatCode="&quot;$&quot;#,##0"/>
    <numFmt numFmtId="196" formatCode="0.0000%"/>
    <numFmt numFmtId="197" formatCode="\-"/>
    <numFmt numFmtId="198" formatCode="&quot;Yes&quot;;&quot;Yes&quot;;&quot;No&quot;"/>
    <numFmt numFmtId="199" formatCode="&quot;True&quot;;&quot;True&quot;;&quot;False&quot;"/>
    <numFmt numFmtId="200" formatCode="&quot;On&quot;;&quot;On&quot;;&quot;Off&quot;"/>
    <numFmt numFmtId="201" formatCode="_(* #,##0.0000_);_(* \(#,##0.0000\);_(* &quot;-&quot;????_);_(@_)"/>
    <numFmt numFmtId="202" formatCode="mm/dd/yy"/>
    <numFmt numFmtId="203" formatCode="mmmm\-yy"/>
    <numFmt numFmtId="204" formatCode="_(&quot;$&quot;* #,##0.000_);_(&quot;$&quot;* \(#,##0.000\);_(&quot;$&quot;* &quot;-&quot;???_);_(@_)"/>
    <numFmt numFmtId="205" formatCode="0.000"/>
    <numFmt numFmtId="206" formatCode="0.0000"/>
    <numFmt numFmtId="207" formatCode="mmm\-yyyy"/>
    <numFmt numFmtId="208" formatCode="_(* #,##0.00_);_(* \(#,##0.00\);_(* &quot;-&quot;_);_(@_)"/>
  </numFmts>
  <fonts count="179">
    <font>
      <sz val="14"/>
      <name val="Arial"/>
      <family val="0"/>
    </font>
    <font>
      <sz val="10"/>
      <name val="Arial"/>
      <family val="2"/>
    </font>
    <font>
      <b/>
      <u val="single"/>
      <sz val="14"/>
      <name val="Arial MT"/>
      <family val="0"/>
    </font>
    <font>
      <b/>
      <sz val="10"/>
      <color indexed="10"/>
      <name val="Arial"/>
      <family val="2"/>
    </font>
    <font>
      <b/>
      <sz val="12"/>
      <name val="Arial"/>
      <family val="2"/>
    </font>
    <font>
      <sz val="12"/>
      <name val="Arial"/>
      <family val="2"/>
    </font>
    <font>
      <b/>
      <sz val="22"/>
      <name val="Arial"/>
      <family val="2"/>
    </font>
    <font>
      <sz val="18"/>
      <name val="Arial"/>
      <family val="2"/>
    </font>
    <font>
      <b/>
      <sz val="16"/>
      <name val="Arial"/>
      <family val="2"/>
    </font>
    <font>
      <i/>
      <sz val="10"/>
      <name val="Arial MT"/>
      <family val="0"/>
    </font>
    <font>
      <sz val="16"/>
      <name val="Arial"/>
      <family val="2"/>
    </font>
    <font>
      <sz val="8"/>
      <name val="Arial"/>
      <family val="2"/>
    </font>
    <font>
      <sz val="14"/>
      <color indexed="8"/>
      <name val="Arial"/>
      <family val="2"/>
    </font>
    <font>
      <b/>
      <sz val="18"/>
      <name val="Arial"/>
      <family val="2"/>
    </font>
    <font>
      <b/>
      <sz val="14"/>
      <name val="Arial"/>
      <family val="2"/>
    </font>
    <font>
      <sz val="14"/>
      <color indexed="12"/>
      <name val="Arial"/>
      <family val="2"/>
    </font>
    <font>
      <sz val="14"/>
      <name val="Arial MT"/>
      <family val="0"/>
    </font>
    <font>
      <b/>
      <sz val="14"/>
      <color indexed="12"/>
      <name val="Arial"/>
      <family val="2"/>
    </font>
    <font>
      <b/>
      <sz val="14"/>
      <color indexed="8"/>
      <name val="Arial"/>
      <family val="2"/>
    </font>
    <font>
      <b/>
      <sz val="16"/>
      <color indexed="8"/>
      <name val="Arial"/>
      <family val="2"/>
    </font>
    <font>
      <sz val="16"/>
      <color indexed="8"/>
      <name val="Arial"/>
      <family val="2"/>
    </font>
    <font>
      <i/>
      <sz val="14"/>
      <name val="Arial"/>
      <family val="2"/>
    </font>
    <font>
      <i/>
      <sz val="12"/>
      <name val="Arial"/>
      <family val="2"/>
    </font>
    <font>
      <sz val="15"/>
      <name val="Arial"/>
      <family val="2"/>
    </font>
    <font>
      <b/>
      <sz val="18"/>
      <color indexed="12"/>
      <name val="Arial"/>
      <family val="2"/>
    </font>
    <font>
      <b/>
      <sz val="18"/>
      <color indexed="9"/>
      <name val="Arial"/>
      <family val="2"/>
    </font>
    <font>
      <b/>
      <sz val="14"/>
      <color indexed="9"/>
      <name val="Arial"/>
      <family val="2"/>
    </font>
    <font>
      <b/>
      <sz val="14"/>
      <name val="Arial MT"/>
      <family val="0"/>
    </font>
    <font>
      <sz val="12"/>
      <name val="Arial MT"/>
      <family val="0"/>
    </font>
    <font>
      <b/>
      <u val="single"/>
      <sz val="12"/>
      <name val="Arial MT"/>
      <family val="0"/>
    </font>
    <font>
      <sz val="11"/>
      <name val="Arial MT"/>
      <family val="0"/>
    </font>
    <font>
      <sz val="10"/>
      <color indexed="8"/>
      <name val="Arial MT"/>
      <family val="0"/>
    </font>
    <font>
      <sz val="14"/>
      <color indexed="10"/>
      <name val="Arial MT"/>
      <family val="0"/>
    </font>
    <font>
      <sz val="14"/>
      <color indexed="50"/>
      <name val="Arial MT"/>
      <family val="0"/>
    </font>
    <font>
      <b/>
      <sz val="14"/>
      <color indexed="8"/>
      <name val="Arial MT"/>
      <family val="0"/>
    </font>
    <font>
      <sz val="14"/>
      <color indexed="8"/>
      <name val="Arial MT"/>
      <family val="0"/>
    </font>
    <font>
      <sz val="14"/>
      <color indexed="12"/>
      <name val="Arial MT"/>
      <family val="0"/>
    </font>
    <font>
      <sz val="12"/>
      <color indexed="8"/>
      <name val="Arial MT"/>
      <family val="0"/>
    </font>
    <font>
      <i/>
      <sz val="10"/>
      <name val="Arial"/>
      <family val="2"/>
    </font>
    <font>
      <i/>
      <sz val="14"/>
      <color indexed="12"/>
      <name val="Arial"/>
      <family val="2"/>
    </font>
    <font>
      <i/>
      <sz val="14"/>
      <name val="Arial MT"/>
      <family val="0"/>
    </font>
    <font>
      <sz val="8"/>
      <name val="Tahoma"/>
      <family val="2"/>
    </font>
    <font>
      <b/>
      <sz val="14"/>
      <name val="Tahoma"/>
      <family val="2"/>
    </font>
    <font>
      <sz val="14"/>
      <name val="Tahoma"/>
      <family val="2"/>
    </font>
    <font>
      <b/>
      <sz val="12"/>
      <name val="Tahoma"/>
      <family val="2"/>
    </font>
    <font>
      <sz val="12"/>
      <name val="Tahoma"/>
      <family val="2"/>
    </font>
    <font>
      <b/>
      <sz val="14"/>
      <color indexed="17"/>
      <name val="Tahoma"/>
      <family val="2"/>
    </font>
    <font>
      <sz val="14"/>
      <color indexed="17"/>
      <name val="Tahoma"/>
      <family val="2"/>
    </font>
    <font>
      <b/>
      <sz val="18"/>
      <name val="Tahoma"/>
      <family val="2"/>
    </font>
    <font>
      <b/>
      <sz val="14"/>
      <color indexed="10"/>
      <name val="Tahoma"/>
      <family val="2"/>
    </font>
    <font>
      <sz val="13"/>
      <name val="Arial"/>
      <family val="2"/>
    </font>
    <font>
      <sz val="13"/>
      <color indexed="8"/>
      <name val="Arial"/>
      <family val="2"/>
    </font>
    <font>
      <u val="single"/>
      <sz val="7"/>
      <color indexed="12"/>
      <name val="Arial"/>
      <family val="2"/>
    </font>
    <font>
      <u val="single"/>
      <sz val="7"/>
      <color indexed="36"/>
      <name val="Arial"/>
      <family val="2"/>
    </font>
    <font>
      <sz val="13"/>
      <color indexed="12"/>
      <name val="Arial"/>
      <family val="2"/>
    </font>
    <font>
      <b/>
      <i/>
      <sz val="14"/>
      <color indexed="17"/>
      <name val="Arial"/>
      <family val="2"/>
    </font>
    <font>
      <b/>
      <sz val="14"/>
      <color indexed="17"/>
      <name val="Arial"/>
      <family val="2"/>
    </font>
    <font>
      <sz val="13"/>
      <color indexed="17"/>
      <name val="Arial"/>
      <family val="2"/>
    </font>
    <font>
      <b/>
      <sz val="10"/>
      <color indexed="12"/>
      <name val="Arial"/>
      <family val="2"/>
    </font>
    <font>
      <sz val="20"/>
      <name val="Arial"/>
      <family val="2"/>
    </font>
    <font>
      <sz val="14"/>
      <color indexed="9"/>
      <name val="Arial"/>
      <family val="2"/>
    </font>
    <font>
      <b/>
      <u val="single"/>
      <sz val="14"/>
      <name val="Arial"/>
      <family val="2"/>
    </font>
    <font>
      <sz val="12"/>
      <name val="Wingdings"/>
      <family val="0"/>
    </font>
    <font>
      <sz val="16"/>
      <name val="Wingdings"/>
      <family val="0"/>
    </font>
    <font>
      <b/>
      <sz val="26"/>
      <name val="Arial"/>
      <family val="2"/>
    </font>
    <font>
      <sz val="26"/>
      <name val="Arial"/>
      <family val="2"/>
    </font>
    <font>
      <sz val="16"/>
      <color indexed="9"/>
      <name val="Arial"/>
      <family val="2"/>
    </font>
    <font>
      <b/>
      <sz val="18"/>
      <color indexed="8"/>
      <name val="Arial"/>
      <family val="2"/>
    </font>
    <font>
      <b/>
      <sz val="18"/>
      <name val="Arial MT"/>
      <family val="0"/>
    </font>
    <font>
      <b/>
      <sz val="36"/>
      <name val="Arial"/>
      <family val="2"/>
    </font>
    <font>
      <b/>
      <sz val="48"/>
      <name val="Arial"/>
      <family val="2"/>
    </font>
    <font>
      <i/>
      <sz val="14"/>
      <color indexed="12"/>
      <name val="Arial MT"/>
      <family val="0"/>
    </font>
    <font>
      <i/>
      <sz val="14"/>
      <color indexed="8"/>
      <name val="Arial MT"/>
      <family val="0"/>
    </font>
    <font>
      <i/>
      <sz val="10"/>
      <color indexed="8"/>
      <name val="Arial MT"/>
      <family val="0"/>
    </font>
    <font>
      <b/>
      <sz val="36"/>
      <color indexed="12"/>
      <name val="Arial"/>
      <family val="2"/>
    </font>
    <font>
      <sz val="12"/>
      <color indexed="12"/>
      <name val="Arial"/>
      <family val="2"/>
    </font>
    <font>
      <sz val="16"/>
      <color indexed="12"/>
      <name val="Arial"/>
      <family val="2"/>
    </font>
    <font>
      <sz val="14"/>
      <color indexed="10"/>
      <name val="Arial"/>
      <family val="2"/>
    </font>
    <font>
      <sz val="48"/>
      <color indexed="12"/>
      <name val="Arial"/>
      <family val="2"/>
    </font>
    <font>
      <sz val="28"/>
      <color indexed="12"/>
      <name val="Arial"/>
      <family val="2"/>
    </font>
    <font>
      <b/>
      <sz val="16"/>
      <color indexed="10"/>
      <name val="Arial"/>
      <family val="2"/>
    </font>
    <font>
      <b/>
      <sz val="22"/>
      <color indexed="10"/>
      <name val="Arial"/>
      <family val="2"/>
    </font>
    <font>
      <sz val="14"/>
      <color indexed="17"/>
      <name val="Arial MT"/>
      <family val="0"/>
    </font>
    <font>
      <b/>
      <sz val="16"/>
      <color indexed="9"/>
      <name val="Arial MT"/>
      <family val="0"/>
    </font>
    <font>
      <sz val="14"/>
      <color indexed="17"/>
      <name val="Arial"/>
      <family val="2"/>
    </font>
    <font>
      <b/>
      <sz val="12"/>
      <color indexed="9"/>
      <name val="Arial"/>
      <family val="2"/>
    </font>
    <font>
      <b/>
      <sz val="18"/>
      <color indexed="17"/>
      <name val="Arial"/>
      <family val="2"/>
    </font>
    <font>
      <b/>
      <sz val="14"/>
      <color indexed="61"/>
      <name val="Arial"/>
      <family val="2"/>
    </font>
    <font>
      <sz val="12"/>
      <color indexed="17"/>
      <name val="Arial"/>
      <family val="2"/>
    </font>
    <font>
      <sz val="12"/>
      <color indexed="61"/>
      <name val="Arial"/>
      <family val="2"/>
    </font>
    <font>
      <sz val="18"/>
      <color indexed="9"/>
      <name val="Arial"/>
      <family val="2"/>
    </font>
    <font>
      <sz val="9"/>
      <name val="Tahoma"/>
      <family val="2"/>
    </font>
    <font>
      <b/>
      <i/>
      <sz val="12"/>
      <name val="Arial"/>
      <family val="2"/>
    </font>
    <font>
      <sz val="16"/>
      <name val="Tahoma"/>
      <family val="2"/>
    </font>
    <font>
      <u val="single"/>
      <sz val="16"/>
      <color indexed="12"/>
      <name val="Arial"/>
      <family val="2"/>
    </font>
    <font>
      <sz val="9.75"/>
      <color indexed="8"/>
      <name val="Arial"/>
      <family val="2"/>
    </font>
    <font>
      <b/>
      <sz val="20"/>
      <color indexed="8"/>
      <name val="Arial"/>
      <family val="2"/>
    </font>
    <font>
      <sz val="1.25"/>
      <color indexed="8"/>
      <name val="Arial"/>
      <family val="2"/>
    </font>
    <font>
      <b/>
      <sz val="2.75"/>
      <color indexed="8"/>
      <name val="Arial"/>
      <family val="2"/>
    </font>
    <font>
      <sz val="1.75"/>
      <color indexed="8"/>
      <name val="Arial"/>
      <family val="2"/>
    </font>
    <font>
      <b/>
      <sz val="1.25"/>
      <color indexed="8"/>
      <name val="Arial"/>
      <family val="2"/>
    </font>
    <font>
      <sz val="18.4"/>
      <color indexed="8"/>
      <name val="Arial"/>
      <family val="2"/>
    </font>
    <font>
      <sz val="1.5"/>
      <color indexed="8"/>
      <name val="Arial"/>
      <family val="2"/>
    </font>
    <font>
      <sz val="23"/>
      <color indexed="8"/>
      <name val="Arial"/>
      <family val="2"/>
    </font>
    <font>
      <b/>
      <sz val="19.25"/>
      <color indexed="8"/>
      <name val="Arial"/>
      <family val="2"/>
    </font>
    <font>
      <b/>
      <sz val="17"/>
      <color indexed="8"/>
      <name val="Arial"/>
      <family val="2"/>
    </font>
    <font>
      <sz val="17.75"/>
      <color indexed="8"/>
      <name val="Arial"/>
      <family val="2"/>
    </font>
    <font>
      <b/>
      <sz val="25.75"/>
      <color indexed="8"/>
      <name val="Arial"/>
      <family val="2"/>
    </font>
    <font>
      <sz val="16.5"/>
      <color indexed="8"/>
      <name val="Arial"/>
      <family val="2"/>
    </font>
    <font>
      <b/>
      <sz val="18.75"/>
      <color indexed="8"/>
      <name val="Arial"/>
      <family val="2"/>
    </font>
    <font>
      <b/>
      <sz val="16.75"/>
      <color indexed="8"/>
      <name val="Arial"/>
      <family val="2"/>
    </font>
    <font>
      <b/>
      <sz val="17.75"/>
      <color indexed="8"/>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8"/>
      <name val="Arial MT"/>
      <family val="0"/>
    </font>
    <font>
      <b/>
      <sz val="10"/>
      <color indexed="8"/>
      <name val="Arial MT"/>
      <family val="0"/>
    </font>
    <font>
      <b/>
      <sz val="9"/>
      <name val="Tahoma"/>
      <family val="0"/>
    </font>
    <font>
      <b/>
      <sz val="11"/>
      <name val="Tahoma"/>
      <family val="2"/>
    </font>
    <font>
      <sz val="11"/>
      <name val="Tahoma"/>
      <family val="2"/>
    </font>
    <font>
      <b/>
      <sz val="11"/>
      <color indexed="17"/>
      <name val="Tahoma"/>
      <family val="2"/>
    </font>
    <font>
      <sz val="11"/>
      <color indexed="17"/>
      <name val="Tahoma"/>
      <family val="2"/>
    </font>
    <font>
      <b/>
      <sz val="11"/>
      <color indexed="12"/>
      <name val="Tahoma"/>
      <family val="2"/>
    </font>
    <font>
      <b/>
      <sz val="11"/>
      <color indexed="10"/>
      <name val="Tahoma"/>
      <family val="2"/>
    </font>
    <font>
      <sz val="11"/>
      <color indexed="10"/>
      <name val="Tahoma"/>
      <family val="2"/>
    </font>
    <font>
      <b/>
      <u val="single"/>
      <sz val="11"/>
      <name val="Tahoma"/>
      <family val="2"/>
    </font>
    <font>
      <sz val="9"/>
      <color indexed="8"/>
      <name val="Arial"/>
      <family val="2"/>
    </font>
    <font>
      <b/>
      <sz val="22"/>
      <color indexed="8"/>
      <name val="Arial"/>
      <family val="2"/>
    </font>
    <font>
      <b/>
      <sz val="26"/>
      <color indexed="8"/>
      <name val="Arial"/>
      <family val="2"/>
    </font>
    <font>
      <b/>
      <sz val="3.25"/>
      <color indexed="8"/>
      <name val="Arial"/>
      <family val="2"/>
    </font>
    <font>
      <b/>
      <sz val="4"/>
      <color indexed="8"/>
      <name val="Arial"/>
      <family val="2"/>
    </font>
    <font>
      <b/>
      <sz val="1.75"/>
      <color indexed="8"/>
      <name val="Arial"/>
      <family val="2"/>
    </font>
    <font>
      <b/>
      <sz val="2.25"/>
      <color indexed="8"/>
      <name val="Arial"/>
      <family val="2"/>
    </font>
    <font>
      <b/>
      <sz val="2.5"/>
      <color indexed="8"/>
      <name val="Arial"/>
      <family val="2"/>
    </font>
    <font>
      <b/>
      <sz val="3"/>
      <color indexed="8"/>
      <name val="Arial"/>
      <family val="2"/>
    </font>
    <font>
      <b/>
      <sz val="25.5"/>
      <color indexed="8"/>
      <name val="Arial"/>
      <family val="2"/>
    </font>
    <font>
      <b/>
      <sz val="25"/>
      <color indexed="8"/>
      <name val="Arial"/>
      <family val="2"/>
    </font>
    <font>
      <b/>
      <sz val="12"/>
      <color indexed="8"/>
      <name val="Arial"/>
      <family val="2"/>
    </font>
    <font>
      <b/>
      <u val="single"/>
      <sz val="18"/>
      <color indexed="8"/>
      <name val="Arial"/>
      <family val="2"/>
    </font>
    <font>
      <sz val="18"/>
      <color indexed="8"/>
      <name val="Arial"/>
      <family val="2"/>
    </font>
    <font>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0000FF"/>
      <name val="Arial MT"/>
      <family val="0"/>
    </font>
    <font>
      <b/>
      <sz val="14"/>
      <color rgb="FF0000FF"/>
      <name val="Arial"/>
      <family val="2"/>
    </font>
    <font>
      <sz val="14"/>
      <color rgb="FF0000FF"/>
      <name val="Arial"/>
      <family val="2"/>
    </font>
    <font>
      <sz val="12"/>
      <color rgb="FF0000FF"/>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medium">
        <color indexed="12"/>
      </left>
      <right style="medium">
        <color indexed="12"/>
      </right>
      <top style="medium">
        <color indexed="12"/>
      </top>
      <bottom style="medium">
        <color indexed="12"/>
      </bottom>
    </border>
    <border>
      <left>
        <color indexed="63"/>
      </left>
      <right>
        <color indexed="63"/>
      </right>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color indexed="63"/>
      </right>
      <top style="medium"/>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7" fillId="2" borderId="0" applyNumberFormat="0" applyBorder="0" applyAlignment="0" applyProtection="0"/>
    <xf numFmtId="0" fontId="157" fillId="3" borderId="0" applyNumberFormat="0" applyBorder="0" applyAlignment="0" applyProtection="0"/>
    <xf numFmtId="0" fontId="157" fillId="4" borderId="0" applyNumberFormat="0" applyBorder="0" applyAlignment="0" applyProtection="0"/>
    <xf numFmtId="0" fontId="157" fillId="5" borderId="0" applyNumberFormat="0" applyBorder="0" applyAlignment="0" applyProtection="0"/>
    <xf numFmtId="0" fontId="157" fillId="6" borderId="0" applyNumberFormat="0" applyBorder="0" applyAlignment="0" applyProtection="0"/>
    <xf numFmtId="0" fontId="157" fillId="7" borderId="0" applyNumberFormat="0" applyBorder="0" applyAlignment="0" applyProtection="0"/>
    <xf numFmtId="0" fontId="157" fillId="8" borderId="0" applyNumberFormat="0" applyBorder="0" applyAlignment="0" applyProtection="0"/>
    <xf numFmtId="0" fontId="157" fillId="9" borderId="0" applyNumberFormat="0" applyBorder="0" applyAlignment="0" applyProtection="0"/>
    <xf numFmtId="0" fontId="157" fillId="10" borderId="0" applyNumberFormat="0" applyBorder="0" applyAlignment="0" applyProtection="0"/>
    <xf numFmtId="0" fontId="157" fillId="11" borderId="0" applyNumberFormat="0" applyBorder="0" applyAlignment="0" applyProtection="0"/>
    <xf numFmtId="0" fontId="157" fillId="12" borderId="0" applyNumberFormat="0" applyBorder="0" applyAlignment="0" applyProtection="0"/>
    <xf numFmtId="0" fontId="157" fillId="13" borderId="0" applyNumberFormat="0" applyBorder="0" applyAlignment="0" applyProtection="0"/>
    <xf numFmtId="0" fontId="158" fillId="14" borderId="0" applyNumberFormat="0" applyBorder="0" applyAlignment="0" applyProtection="0"/>
    <xf numFmtId="0" fontId="158" fillId="15" borderId="0" applyNumberFormat="0" applyBorder="0" applyAlignment="0" applyProtection="0"/>
    <xf numFmtId="0" fontId="158" fillId="16" borderId="0" applyNumberFormat="0" applyBorder="0" applyAlignment="0" applyProtection="0"/>
    <xf numFmtId="0" fontId="158" fillId="17" borderId="0" applyNumberFormat="0" applyBorder="0" applyAlignment="0" applyProtection="0"/>
    <xf numFmtId="0" fontId="158" fillId="18" borderId="0" applyNumberFormat="0" applyBorder="0" applyAlignment="0" applyProtection="0"/>
    <xf numFmtId="0" fontId="158" fillId="19" borderId="0" applyNumberFormat="0" applyBorder="0" applyAlignment="0" applyProtection="0"/>
    <xf numFmtId="0" fontId="158" fillId="20" borderId="0" applyNumberFormat="0" applyBorder="0" applyAlignment="0" applyProtection="0"/>
    <xf numFmtId="0" fontId="158" fillId="21" borderId="0" applyNumberFormat="0" applyBorder="0" applyAlignment="0" applyProtection="0"/>
    <xf numFmtId="0" fontId="158" fillId="22" borderId="0" applyNumberFormat="0" applyBorder="0" applyAlignment="0" applyProtection="0"/>
    <xf numFmtId="0" fontId="158" fillId="23" borderId="0" applyNumberFormat="0" applyBorder="0" applyAlignment="0" applyProtection="0"/>
    <xf numFmtId="0" fontId="158" fillId="24" borderId="0" applyNumberFormat="0" applyBorder="0" applyAlignment="0" applyProtection="0"/>
    <xf numFmtId="0" fontId="158" fillId="25" borderId="0" applyNumberFormat="0" applyBorder="0" applyAlignment="0" applyProtection="0"/>
    <xf numFmtId="0" fontId="159" fillId="26" borderId="0" applyNumberFormat="0" applyBorder="0" applyAlignment="0" applyProtection="0"/>
    <xf numFmtId="0" fontId="160" fillId="27" borderId="1" applyNumberFormat="0" applyAlignment="0" applyProtection="0"/>
    <xf numFmtId="0" fontId="1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2" fillId="0" borderId="0" applyNumberFormat="0" applyFill="0" applyBorder="0" applyAlignment="0" applyProtection="0"/>
    <xf numFmtId="0" fontId="53" fillId="0" borderId="0" applyNumberFormat="0" applyFill="0" applyBorder="0" applyAlignment="0" applyProtection="0"/>
    <xf numFmtId="0" fontId="163" fillId="29" borderId="0" applyNumberFormat="0" applyBorder="0" applyAlignment="0" applyProtection="0"/>
    <xf numFmtId="0" fontId="164" fillId="0" borderId="3" applyNumberFormat="0" applyFill="0" applyAlignment="0" applyProtection="0"/>
    <xf numFmtId="0" fontId="165" fillId="0" borderId="4" applyNumberFormat="0" applyFill="0" applyAlignment="0" applyProtection="0"/>
    <xf numFmtId="0" fontId="166" fillId="0" borderId="5" applyNumberFormat="0" applyFill="0" applyAlignment="0" applyProtection="0"/>
    <xf numFmtId="0" fontId="166" fillId="0" borderId="0" applyNumberFormat="0" applyFill="0" applyBorder="0" applyAlignment="0" applyProtection="0"/>
    <xf numFmtId="0" fontId="52" fillId="0" borderId="0" applyNumberFormat="0" applyFill="0" applyBorder="0" applyAlignment="0" applyProtection="0"/>
    <xf numFmtId="0" fontId="167" fillId="30" borderId="1" applyNumberFormat="0" applyAlignment="0" applyProtection="0"/>
    <xf numFmtId="0" fontId="168" fillId="0" borderId="6" applyNumberFormat="0" applyFill="0" applyAlignment="0" applyProtection="0"/>
    <xf numFmtId="0" fontId="169" fillId="31" borderId="0" applyNumberFormat="0" applyBorder="0" applyAlignment="0" applyProtection="0"/>
    <xf numFmtId="0" fontId="1" fillId="0" borderId="0">
      <alignment/>
      <protection/>
    </xf>
    <xf numFmtId="0" fontId="0" fillId="32" borderId="7" applyNumberFormat="0" applyFont="0" applyAlignment="0" applyProtection="0"/>
    <xf numFmtId="0" fontId="170" fillId="27" borderId="8" applyNumberFormat="0" applyAlignment="0" applyProtection="0"/>
    <xf numFmtId="9" fontId="0" fillId="0" borderId="0" applyFont="0" applyFill="0" applyBorder="0" applyAlignment="0" applyProtection="0"/>
    <xf numFmtId="0" fontId="171" fillId="0" borderId="0" applyNumberFormat="0" applyFill="0" applyBorder="0" applyAlignment="0" applyProtection="0"/>
    <xf numFmtId="0" fontId="172" fillId="0" borderId="9" applyNumberFormat="0" applyFill="0" applyAlignment="0" applyProtection="0"/>
    <xf numFmtId="0" fontId="173" fillId="0" borderId="0" applyNumberFormat="0" applyFill="0" applyBorder="0" applyAlignment="0" applyProtection="0"/>
  </cellStyleXfs>
  <cellXfs count="682">
    <xf numFmtId="0" fontId="0" fillId="0" borderId="0" xfId="0" applyAlignment="1">
      <alignment/>
    </xf>
    <xf numFmtId="168" fontId="0" fillId="0" borderId="10" xfId="42" applyNumberFormat="1" applyFont="1" applyBorder="1"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1" fillId="0" borderId="0" xfId="0" applyFont="1" applyAlignment="1" quotePrefix="1">
      <alignment horizontal="left"/>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Continuous"/>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horizontal="centerContinuous"/>
    </xf>
    <xf numFmtId="0" fontId="0" fillId="0" borderId="0" xfId="0" applyBorder="1" applyAlignment="1">
      <alignment/>
    </xf>
    <xf numFmtId="0" fontId="8" fillId="0" borderId="0" xfId="0" applyFont="1" applyAlignment="1">
      <alignment horizontal="centerContinuous"/>
    </xf>
    <xf numFmtId="0" fontId="9" fillId="0" borderId="0" xfId="0" applyFont="1" applyBorder="1" applyAlignment="1">
      <alignment horizontal="centerContinuous"/>
    </xf>
    <xf numFmtId="165" fontId="10" fillId="0" borderId="0" xfId="0" applyNumberFormat="1" applyFont="1" applyAlignment="1" quotePrefix="1">
      <alignment horizontal="centerContinuous"/>
    </xf>
    <xf numFmtId="0" fontId="11" fillId="0" borderId="0" xfId="0" applyFont="1" applyAlignment="1">
      <alignment/>
    </xf>
    <xf numFmtId="0" fontId="0" fillId="0" borderId="0" xfId="0" applyFont="1" applyAlignment="1">
      <alignment/>
    </xf>
    <xf numFmtId="164" fontId="0" fillId="0" borderId="0" xfId="0" applyNumberFormat="1" applyFont="1" applyAlignment="1" applyProtection="1">
      <alignment/>
      <protection/>
    </xf>
    <xf numFmtId="164" fontId="13" fillId="0" borderId="0" xfId="0" applyNumberFormat="1" applyFont="1" applyAlignment="1" applyProtection="1">
      <alignment horizontal="left"/>
      <protection/>
    </xf>
    <xf numFmtId="164" fontId="14" fillId="0" borderId="0" xfId="0" applyNumberFormat="1" applyFont="1" applyAlignment="1" applyProtection="1">
      <alignment horizontal="left"/>
      <protection/>
    </xf>
    <xf numFmtId="0" fontId="14" fillId="0" borderId="0" xfId="0" applyNumberFormat="1" applyFont="1" applyAlignment="1" applyProtection="1">
      <alignment horizontal="center"/>
      <protection/>
    </xf>
    <xf numFmtId="37" fontId="14" fillId="0" borderId="0" xfId="0" applyNumberFormat="1" applyFont="1" applyAlignment="1" applyProtection="1">
      <alignment horizontal="center"/>
      <protection/>
    </xf>
    <xf numFmtId="164" fontId="0" fillId="0" borderId="0" xfId="0" applyNumberFormat="1" applyFont="1" applyAlignment="1" applyProtection="1">
      <alignment horizontal="left"/>
      <protection/>
    </xf>
    <xf numFmtId="0" fontId="16" fillId="0" borderId="0" xfId="0" applyFont="1" applyAlignment="1">
      <alignment/>
    </xf>
    <xf numFmtId="37" fontId="14" fillId="0" borderId="10" xfId="0" applyNumberFormat="1" applyFont="1" applyBorder="1" applyAlignment="1" applyProtection="1">
      <alignment horizontal="left"/>
      <protection/>
    </xf>
    <xf numFmtId="37" fontId="14" fillId="0" borderId="10" xfId="0" applyNumberFormat="1" applyFont="1" applyBorder="1" applyAlignment="1" applyProtection="1">
      <alignment horizontal="center"/>
      <protection/>
    </xf>
    <xf numFmtId="0" fontId="16"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lignment/>
    </xf>
    <xf numFmtId="37" fontId="15" fillId="0" borderId="0" xfId="0" applyNumberFormat="1" applyFont="1" applyFill="1" applyBorder="1" applyAlignment="1" applyProtection="1">
      <alignment/>
      <protection/>
    </xf>
    <xf numFmtId="37" fontId="15" fillId="0" borderId="0" xfId="0" applyNumberFormat="1" applyFont="1" applyBorder="1" applyAlignment="1" applyProtection="1">
      <alignment horizontal="left"/>
      <protection/>
    </xf>
    <xf numFmtId="41" fontId="0" fillId="0" borderId="0" xfId="0" applyNumberFormat="1" applyFont="1" applyBorder="1" applyAlignment="1" applyProtection="1">
      <alignment/>
      <protection/>
    </xf>
    <xf numFmtId="37" fontId="15" fillId="0" borderId="11" xfId="0" applyNumberFormat="1" applyFont="1" applyBorder="1" applyAlignment="1" applyProtection="1">
      <alignment horizontal="left"/>
      <protection/>
    </xf>
    <xf numFmtId="0" fontId="14" fillId="0" borderId="0" xfId="0" applyFont="1" applyAlignment="1">
      <alignment/>
    </xf>
    <xf numFmtId="166" fontId="14" fillId="0" borderId="10" xfId="0" applyNumberFormat="1" applyFont="1" applyBorder="1" applyAlignment="1" applyProtection="1">
      <alignment horizontal="center"/>
      <protection/>
    </xf>
    <xf numFmtId="164" fontId="0" fillId="0" borderId="0" xfId="0" applyNumberFormat="1" applyFont="1" applyAlignment="1" applyProtection="1">
      <alignment horizontal="center"/>
      <protection/>
    </xf>
    <xf numFmtId="164" fontId="0" fillId="0" borderId="10" xfId="0" applyNumberFormat="1" applyFont="1" applyBorder="1" applyAlignment="1" applyProtection="1">
      <alignment horizontal="center"/>
      <protection/>
    </xf>
    <xf numFmtId="0" fontId="0" fillId="0" borderId="12" xfId="0" applyBorder="1" applyAlignment="1">
      <alignment/>
    </xf>
    <xf numFmtId="0" fontId="0" fillId="0" borderId="11" xfId="0" applyBorder="1" applyAlignment="1">
      <alignment/>
    </xf>
    <xf numFmtId="168" fontId="15" fillId="0" borderId="0" xfId="42" applyNumberFormat="1" applyFont="1" applyFill="1" applyBorder="1" applyAlignment="1" applyProtection="1">
      <alignment/>
      <protection/>
    </xf>
    <xf numFmtId="37" fontId="0" fillId="0" borderId="0" xfId="0" applyNumberFormat="1" applyFont="1" applyBorder="1" applyAlignment="1" applyProtection="1">
      <alignment horizontal="left"/>
      <protection/>
    </xf>
    <xf numFmtId="37" fontId="14" fillId="0" borderId="0" xfId="0" applyNumberFormat="1" applyFont="1" applyBorder="1" applyAlignment="1" applyProtection="1">
      <alignment horizontal="left"/>
      <protection/>
    </xf>
    <xf numFmtId="0" fontId="0" fillId="0" borderId="0" xfId="0" applyAlignment="1">
      <alignment horizontal="center"/>
    </xf>
    <xf numFmtId="168" fontId="0" fillId="0" borderId="0" xfId="42" applyNumberFormat="1" applyFont="1" applyFill="1" applyBorder="1" applyAlignment="1" applyProtection="1">
      <alignment/>
      <protection/>
    </xf>
    <xf numFmtId="168" fontId="0" fillId="0" borderId="11" xfId="42" applyNumberFormat="1" applyFont="1" applyFill="1" applyBorder="1" applyAlignment="1" applyProtection="1">
      <alignment/>
      <protection/>
    </xf>
    <xf numFmtId="37" fontId="0" fillId="0" borderId="11" xfId="0" applyNumberFormat="1" applyFont="1" applyBorder="1" applyAlignment="1" applyProtection="1">
      <alignment horizontal="left"/>
      <protection/>
    </xf>
    <xf numFmtId="164" fontId="12" fillId="0" borderId="0" xfId="0" applyNumberFormat="1" applyFont="1" applyAlignment="1" applyProtection="1">
      <alignment horizontal="left"/>
      <protection/>
    </xf>
    <xf numFmtId="164" fontId="18" fillId="0" borderId="0" xfId="0" applyNumberFormat="1" applyFont="1" applyAlignment="1" applyProtection="1">
      <alignment horizontal="left"/>
      <protection/>
    </xf>
    <xf numFmtId="164" fontId="0" fillId="0" borderId="11" xfId="0" applyNumberFormat="1" applyFont="1" applyBorder="1" applyAlignment="1" applyProtection="1">
      <alignment horizontal="left"/>
      <protection/>
    </xf>
    <xf numFmtId="164" fontId="19" fillId="0" borderId="0" xfId="0" applyNumberFormat="1" applyFont="1" applyAlignment="1" applyProtection="1">
      <alignment horizontal="left"/>
      <protection/>
    </xf>
    <xf numFmtId="168" fontId="0" fillId="0" borderId="0" xfId="42" applyNumberFormat="1" applyFont="1" applyBorder="1" applyAlignment="1">
      <alignment/>
    </xf>
    <xf numFmtId="168" fontId="0" fillId="0" borderId="13" xfId="42" applyNumberFormat="1" applyFont="1" applyBorder="1" applyAlignment="1">
      <alignment/>
    </xf>
    <xf numFmtId="168" fontId="0" fillId="0" borderId="14" xfId="42" applyNumberFormat="1" applyFont="1" applyBorder="1" applyAlignment="1">
      <alignment/>
    </xf>
    <xf numFmtId="168" fontId="0" fillId="0" borderId="15" xfId="42" applyNumberFormat="1" applyFont="1" applyBorder="1" applyAlignment="1">
      <alignment/>
    </xf>
    <xf numFmtId="164" fontId="20" fillId="0" borderId="0" xfId="0" applyNumberFormat="1" applyFont="1" applyAlignment="1" applyProtection="1">
      <alignment horizontal="left"/>
      <protection/>
    </xf>
    <xf numFmtId="0" fontId="0" fillId="0" borderId="11" xfId="0" applyFont="1" applyBorder="1" applyAlignment="1">
      <alignment/>
    </xf>
    <xf numFmtId="37" fontId="0" fillId="0" borderId="0" xfId="0" applyNumberFormat="1" applyAlignment="1">
      <alignment/>
    </xf>
    <xf numFmtId="164" fontId="0" fillId="0" borderId="0" xfId="0" applyNumberFormat="1" applyAlignment="1">
      <alignment/>
    </xf>
    <xf numFmtId="168" fontId="0" fillId="0" borderId="0" xfId="0" applyNumberFormat="1" applyAlignment="1">
      <alignment/>
    </xf>
    <xf numFmtId="168" fontId="0" fillId="0" borderId="0" xfId="42" applyNumberFormat="1" applyFont="1" applyAlignment="1">
      <alignment/>
    </xf>
    <xf numFmtId="168" fontId="0" fillId="0" borderId="16" xfId="0" applyNumberFormat="1" applyBorder="1" applyAlignment="1">
      <alignment/>
    </xf>
    <xf numFmtId="0" fontId="22" fillId="0" borderId="0" xfId="0" applyFont="1" applyAlignment="1">
      <alignment/>
    </xf>
    <xf numFmtId="164" fontId="0" fillId="0" borderId="0" xfId="0" applyNumberFormat="1" applyFont="1" applyAlignment="1" applyProtection="1">
      <alignment horizontal="right"/>
      <protection/>
    </xf>
    <xf numFmtId="0" fontId="0" fillId="0" borderId="13" xfId="0" applyFont="1" applyBorder="1" applyAlignment="1">
      <alignment/>
    </xf>
    <xf numFmtId="0" fontId="0" fillId="33" borderId="17" xfId="0" applyFont="1" applyFill="1" applyBorder="1" applyAlignment="1">
      <alignment/>
    </xf>
    <xf numFmtId="0" fontId="0" fillId="33" borderId="16" xfId="0" applyFill="1" applyBorder="1" applyAlignment="1">
      <alignment/>
    </xf>
    <xf numFmtId="0" fontId="0" fillId="33" borderId="18" xfId="0" applyFont="1" applyFill="1" applyBorder="1" applyAlignment="1">
      <alignment/>
    </xf>
    <xf numFmtId="0" fontId="0" fillId="33" borderId="11" xfId="0" applyFill="1" applyBorder="1" applyAlignment="1">
      <alignment/>
    </xf>
    <xf numFmtId="0" fontId="23" fillId="0" borderId="0" xfId="0" applyFont="1" applyAlignment="1">
      <alignment/>
    </xf>
    <xf numFmtId="168" fontId="0" fillId="0" borderId="11" xfId="42" applyNumberFormat="1" applyFont="1" applyBorder="1" applyAlignment="1">
      <alignment/>
    </xf>
    <xf numFmtId="168" fontId="15" fillId="0" borderId="0" xfId="42" applyNumberFormat="1" applyFont="1" applyBorder="1" applyAlignment="1">
      <alignment/>
    </xf>
    <xf numFmtId="0" fontId="14" fillId="0" borderId="0" xfId="0" applyFont="1" applyBorder="1" applyAlignment="1">
      <alignment horizontal="center"/>
    </xf>
    <xf numFmtId="0" fontId="15" fillId="0" borderId="0" xfId="0" applyFont="1" applyAlignment="1">
      <alignment/>
    </xf>
    <xf numFmtId="0" fontId="15" fillId="0" borderId="11" xfId="0" applyFont="1" applyBorder="1" applyAlignment="1">
      <alignment/>
    </xf>
    <xf numFmtId="168" fontId="0" fillId="0" borderId="17" xfId="42" applyNumberFormat="1" applyFont="1" applyBorder="1" applyAlignment="1">
      <alignment/>
    </xf>
    <xf numFmtId="168" fontId="0" fillId="0" borderId="16" xfId="42" applyNumberFormat="1" applyFont="1" applyBorder="1" applyAlignment="1">
      <alignment/>
    </xf>
    <xf numFmtId="168" fontId="0" fillId="0" borderId="19" xfId="42" applyNumberFormat="1" applyFont="1" applyBorder="1" applyAlignment="1">
      <alignment/>
    </xf>
    <xf numFmtId="168" fontId="0" fillId="0" borderId="18" xfId="42" applyNumberFormat="1" applyFont="1" applyBorder="1" applyAlignment="1">
      <alignment/>
    </xf>
    <xf numFmtId="168" fontId="0" fillId="0" borderId="12" xfId="42" applyNumberFormat="1" applyFont="1" applyBorder="1" applyAlignment="1">
      <alignment/>
    </xf>
    <xf numFmtId="9" fontId="0" fillId="0" borderId="0" xfId="60" applyFont="1" applyAlignment="1">
      <alignment/>
    </xf>
    <xf numFmtId="9" fontId="0" fillId="0" borderId="0" xfId="0" applyNumberFormat="1" applyAlignment="1">
      <alignment/>
    </xf>
    <xf numFmtId="9" fontId="0" fillId="0" borderId="11" xfId="0" applyNumberFormat="1" applyBorder="1" applyAlignment="1">
      <alignment/>
    </xf>
    <xf numFmtId="168" fontId="0" fillId="0" borderId="0" xfId="60" applyNumberFormat="1" applyFont="1" applyAlignment="1">
      <alignment/>
    </xf>
    <xf numFmtId="0" fontId="25" fillId="34" borderId="0" xfId="0" applyFont="1" applyFill="1" applyAlignment="1">
      <alignment/>
    </xf>
    <xf numFmtId="168" fontId="15" fillId="0" borderId="11" xfId="42" applyNumberFormat="1" applyFont="1" applyFill="1" applyBorder="1" applyAlignment="1" applyProtection="1">
      <alignment/>
      <protection/>
    </xf>
    <xf numFmtId="37" fontId="12" fillId="0" borderId="0" xfId="0" applyNumberFormat="1" applyFont="1" applyFill="1" applyBorder="1" applyAlignment="1" applyProtection="1">
      <alignment/>
      <protection/>
    </xf>
    <xf numFmtId="37" fontId="12" fillId="0" borderId="11" xfId="0" applyNumberFormat="1" applyFont="1" applyFill="1" applyBorder="1" applyAlignment="1" applyProtection="1">
      <alignment/>
      <protection/>
    </xf>
    <xf numFmtId="172" fontId="0" fillId="0" borderId="0" xfId="42" applyNumberFormat="1" applyFont="1" applyAlignment="1">
      <alignment/>
    </xf>
    <xf numFmtId="0" fontId="0" fillId="34" borderId="0" xfId="0"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43" fontId="0" fillId="0" borderId="0" xfId="42" applyNumberFormat="1" applyFont="1" applyBorder="1" applyAlignment="1">
      <alignment/>
    </xf>
    <xf numFmtId="43" fontId="0" fillId="0" borderId="11" xfId="42" applyNumberFormat="1" applyFont="1" applyBorder="1" applyAlignment="1">
      <alignment/>
    </xf>
    <xf numFmtId="168" fontId="0" fillId="0" borderId="0" xfId="42" applyNumberFormat="1" applyFont="1" applyAlignment="1">
      <alignment horizontal="right"/>
    </xf>
    <xf numFmtId="168" fontId="0" fillId="0" borderId="0" xfId="42" applyNumberFormat="1" applyFont="1" applyAlignment="1">
      <alignment horizontal="center"/>
    </xf>
    <xf numFmtId="168" fontId="0" fillId="0" borderId="13" xfId="42" applyNumberFormat="1" applyFont="1" applyFill="1" applyBorder="1" applyAlignment="1">
      <alignment/>
    </xf>
    <xf numFmtId="168" fontId="0" fillId="0" borderId="14" xfId="42" applyNumberFormat="1" applyFont="1" applyFill="1" applyBorder="1" applyAlignment="1">
      <alignment/>
    </xf>
    <xf numFmtId="168" fontId="0" fillId="0" borderId="15" xfId="42" applyNumberFormat="1" applyFont="1" applyFill="1" applyBorder="1" applyAlignment="1">
      <alignment/>
    </xf>
    <xf numFmtId="43" fontId="0" fillId="34" borderId="0" xfId="42" applyNumberFormat="1" applyFont="1" applyFill="1" applyBorder="1" applyAlignment="1">
      <alignment/>
    </xf>
    <xf numFmtId="0" fontId="0" fillId="34" borderId="0" xfId="0" applyFill="1" applyAlignment="1">
      <alignment/>
    </xf>
    <xf numFmtId="9" fontId="0" fillId="0" borderId="0" xfId="42" applyNumberFormat="1" applyFont="1" applyAlignment="1">
      <alignment/>
    </xf>
    <xf numFmtId="164" fontId="24" fillId="0" borderId="0" xfId="0" applyNumberFormat="1" applyFont="1" applyBorder="1" applyAlignment="1" applyProtection="1">
      <alignment horizontal="center"/>
      <protection/>
    </xf>
    <xf numFmtId="0" fontId="12" fillId="34" borderId="0" xfId="0" applyFont="1" applyFill="1" applyAlignment="1">
      <alignment/>
    </xf>
    <xf numFmtId="0" fontId="28" fillId="0" borderId="0" xfId="0" applyFont="1" applyBorder="1" applyAlignment="1">
      <alignment/>
    </xf>
    <xf numFmtId="0" fontId="29" fillId="0" borderId="0" xfId="0" applyFont="1" applyAlignment="1">
      <alignment/>
    </xf>
    <xf numFmtId="0" fontId="27" fillId="0" borderId="0" xfId="0" applyFont="1" applyAlignment="1">
      <alignment/>
    </xf>
    <xf numFmtId="0" fontId="0" fillId="0" borderId="20" xfId="0" applyBorder="1" applyAlignment="1">
      <alignment/>
    </xf>
    <xf numFmtId="0" fontId="0" fillId="0" borderId="21" xfId="0" applyBorder="1" applyAlignment="1">
      <alignment/>
    </xf>
    <xf numFmtId="0" fontId="27" fillId="0" borderId="0" xfId="0" applyFont="1" applyBorder="1" applyAlignment="1">
      <alignment/>
    </xf>
    <xf numFmtId="0" fontId="30" fillId="0" borderId="0" xfId="0" applyFont="1" applyAlignment="1">
      <alignment/>
    </xf>
    <xf numFmtId="168" fontId="31" fillId="0" borderId="0" xfId="42" applyNumberFormat="1" applyFont="1" applyAlignment="1">
      <alignment/>
    </xf>
    <xf numFmtId="168" fontId="16" fillId="0" borderId="0" xfId="42" applyNumberFormat="1" applyFont="1" applyAlignment="1">
      <alignment/>
    </xf>
    <xf numFmtId="168" fontId="32" fillId="0" borderId="0" xfId="42" applyNumberFormat="1" applyFont="1" applyAlignment="1">
      <alignment/>
    </xf>
    <xf numFmtId="0" fontId="33" fillId="0" borderId="0" xfId="0" applyFont="1" applyAlignment="1">
      <alignment horizontal="center"/>
    </xf>
    <xf numFmtId="3" fontId="0" fillId="0" borderId="0" xfId="0" applyNumberFormat="1" applyFont="1" applyBorder="1" applyAlignment="1" applyProtection="1">
      <alignment/>
      <protection/>
    </xf>
    <xf numFmtId="168" fontId="12" fillId="0" borderId="0" xfId="42" applyNumberFormat="1" applyFont="1" applyBorder="1" applyAlignment="1" applyProtection="1">
      <alignment/>
      <protection/>
    </xf>
    <xf numFmtId="168" fontId="16" fillId="0" borderId="0" xfId="42" applyNumberFormat="1" applyFont="1" applyBorder="1" applyAlignment="1">
      <alignment/>
    </xf>
    <xf numFmtId="168" fontId="32" fillId="0" borderId="0" xfId="42" applyNumberFormat="1" applyFont="1" applyBorder="1" applyAlignment="1">
      <alignment/>
    </xf>
    <xf numFmtId="3" fontId="0" fillId="0" borderId="0" xfId="0" applyNumberFormat="1" applyFont="1" applyAlignment="1" applyProtection="1">
      <alignment/>
      <protection/>
    </xf>
    <xf numFmtId="168" fontId="35" fillId="0" borderId="0" xfId="42" applyNumberFormat="1" applyFont="1" applyAlignment="1">
      <alignment/>
    </xf>
    <xf numFmtId="168" fontId="35" fillId="0" borderId="11" xfId="42" applyNumberFormat="1" applyFont="1" applyBorder="1" applyAlignment="1">
      <alignment/>
    </xf>
    <xf numFmtId="168" fontId="16" fillId="0" borderId="11" xfId="42" applyNumberFormat="1" applyFont="1" applyBorder="1" applyAlignment="1">
      <alignment/>
    </xf>
    <xf numFmtId="168" fontId="12" fillId="0" borderId="0" xfId="42" applyNumberFormat="1" applyFont="1" applyAlignment="1" applyProtection="1">
      <alignment/>
      <protection/>
    </xf>
    <xf numFmtId="164" fontId="0" fillId="0" borderId="11" xfId="0" applyNumberFormat="1" applyFont="1" applyBorder="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Border="1" applyAlignment="1" applyProtection="1">
      <alignment horizontal="left"/>
      <protection/>
    </xf>
    <xf numFmtId="168" fontId="35" fillId="0" borderId="0" xfId="42" applyNumberFormat="1" applyFont="1" applyBorder="1" applyAlignment="1">
      <alignment/>
    </xf>
    <xf numFmtId="9" fontId="12" fillId="0" borderId="11" xfId="60" applyNumberFormat="1" applyFont="1" applyBorder="1" applyAlignment="1" applyProtection="1">
      <alignment/>
      <protection/>
    </xf>
    <xf numFmtId="168" fontId="12" fillId="0" borderId="11" xfId="42" applyNumberFormat="1" applyFont="1" applyBorder="1" applyAlignment="1" applyProtection="1">
      <alignment/>
      <protection/>
    </xf>
    <xf numFmtId="0" fontId="16" fillId="0" borderId="11" xfId="0" applyFont="1" applyBorder="1" applyAlignment="1">
      <alignment/>
    </xf>
    <xf numFmtId="1" fontId="34" fillId="0" borderId="11" xfId="42" applyNumberFormat="1" applyFont="1" applyBorder="1" applyAlignment="1">
      <alignment horizontal="center"/>
    </xf>
    <xf numFmtId="0" fontId="2" fillId="0" borderId="0" xfId="0" applyFont="1" applyAlignment="1">
      <alignment/>
    </xf>
    <xf numFmtId="168" fontId="36" fillId="0" borderId="0" xfId="42" applyNumberFormat="1" applyFont="1" applyAlignment="1">
      <alignment/>
    </xf>
    <xf numFmtId="0" fontId="16" fillId="0" borderId="22" xfId="0" applyFont="1" applyBorder="1" applyAlignment="1">
      <alignment/>
    </xf>
    <xf numFmtId="168" fontId="35" fillId="0" borderId="22" xfId="42" applyNumberFormat="1" applyFont="1" applyBorder="1" applyAlignment="1">
      <alignment/>
    </xf>
    <xf numFmtId="0" fontId="16" fillId="0" borderId="0" xfId="0" applyFont="1" applyAlignment="1">
      <alignment horizontal="left"/>
    </xf>
    <xf numFmtId="168" fontId="37" fillId="0" borderId="0" xfId="42" applyNumberFormat="1" applyFont="1" applyBorder="1" applyAlignment="1">
      <alignment/>
    </xf>
    <xf numFmtId="164" fontId="14" fillId="0" borderId="0" xfId="0" applyNumberFormat="1" applyFont="1" applyAlignment="1" applyProtection="1">
      <alignment/>
      <protection/>
    </xf>
    <xf numFmtId="164" fontId="38" fillId="0" borderId="11" xfId="0" applyNumberFormat="1" applyFont="1" applyBorder="1" applyAlignment="1" applyProtection="1" quotePrefix="1">
      <alignment horizontal="left"/>
      <protection/>
    </xf>
    <xf numFmtId="164" fontId="0" fillId="33" borderId="13" xfId="0" applyNumberFormat="1" applyFont="1" applyFill="1" applyBorder="1" applyAlignment="1" applyProtection="1">
      <alignment/>
      <protection/>
    </xf>
    <xf numFmtId="164" fontId="0" fillId="0" borderId="13" xfId="0" applyNumberFormat="1" applyFont="1" applyFill="1" applyBorder="1" applyAlignment="1" applyProtection="1">
      <alignment horizontal="left"/>
      <protection/>
    </xf>
    <xf numFmtId="168" fontId="35" fillId="35" borderId="14" xfId="42" applyNumberFormat="1" applyFont="1" applyFill="1" applyBorder="1" applyAlignment="1">
      <alignment/>
    </xf>
    <xf numFmtId="10" fontId="0" fillId="0" borderId="0" xfId="60" applyNumberFormat="1" applyFont="1" applyAlignment="1">
      <alignment/>
    </xf>
    <xf numFmtId="43" fontId="0" fillId="0" borderId="0" xfId="42" applyNumberFormat="1" applyFont="1" applyAlignment="1">
      <alignment/>
    </xf>
    <xf numFmtId="0" fontId="17" fillId="0" borderId="23" xfId="0" applyFont="1" applyFill="1" applyBorder="1" applyAlignment="1">
      <alignment/>
    </xf>
    <xf numFmtId="0" fontId="17" fillId="0" borderId="24" xfId="0" applyFont="1" applyFill="1" applyBorder="1" applyAlignment="1">
      <alignment/>
    </xf>
    <xf numFmtId="9" fontId="17" fillId="0" borderId="25" xfId="60" applyFont="1" applyFill="1" applyBorder="1" applyAlignment="1">
      <alignment horizontal="right"/>
    </xf>
    <xf numFmtId="168" fontId="17" fillId="0" borderId="25" xfId="42" applyNumberFormat="1" applyFont="1" applyFill="1" applyBorder="1" applyAlignment="1">
      <alignment horizontal="right"/>
    </xf>
    <xf numFmtId="9" fontId="17" fillId="0" borderId="24" xfId="60" applyFont="1" applyFill="1" applyBorder="1" applyAlignment="1">
      <alignment horizontal="right"/>
    </xf>
    <xf numFmtId="168" fontId="31" fillId="0" borderId="0" xfId="42" applyNumberFormat="1" applyFont="1" applyBorder="1" applyAlignment="1">
      <alignment/>
    </xf>
    <xf numFmtId="0" fontId="40" fillId="0" borderId="0" xfId="0" applyFont="1" applyAlignment="1">
      <alignment/>
    </xf>
    <xf numFmtId="168" fontId="36" fillId="0" borderId="11" xfId="42" applyNumberFormat="1" applyFont="1" applyBorder="1" applyAlignment="1">
      <alignment/>
    </xf>
    <xf numFmtId="164" fontId="14" fillId="0" borderId="0" xfId="0" applyNumberFormat="1" applyFont="1" applyAlignment="1" applyProtection="1">
      <alignment horizontal="center"/>
      <protection/>
    </xf>
    <xf numFmtId="164" fontId="17" fillId="0" borderId="0" xfId="0" applyNumberFormat="1" applyFont="1" applyAlignment="1" applyProtection="1">
      <alignment horizontal="left"/>
      <protection/>
    </xf>
    <xf numFmtId="0" fontId="14" fillId="0" borderId="10" xfId="0" applyNumberFormat="1" applyFont="1" applyBorder="1" applyAlignment="1" applyProtection="1">
      <alignment horizontal="center"/>
      <protection/>
    </xf>
    <xf numFmtId="0" fontId="17" fillId="0" borderId="11" xfId="0" applyFont="1" applyBorder="1" applyAlignment="1">
      <alignment horizontal="center"/>
    </xf>
    <xf numFmtId="164" fontId="14" fillId="0" borderId="10" xfId="0" applyNumberFormat="1" applyFont="1" applyBorder="1" applyAlignment="1" applyProtection="1">
      <alignment horizontal="center"/>
      <protection/>
    </xf>
    <xf numFmtId="43" fontId="0" fillId="0" borderId="0" xfId="42" applyFont="1" applyBorder="1" applyAlignment="1">
      <alignment/>
    </xf>
    <xf numFmtId="0" fontId="0" fillId="0" borderId="16" xfId="0" applyBorder="1" applyAlignment="1">
      <alignment/>
    </xf>
    <xf numFmtId="164" fontId="0" fillId="0" borderId="16" xfId="0" applyNumberFormat="1" applyFont="1" applyBorder="1" applyAlignment="1" applyProtection="1">
      <alignment horizontal="left"/>
      <protection/>
    </xf>
    <xf numFmtId="164" fontId="0" fillId="0" borderId="16" xfId="0" applyNumberFormat="1" applyFont="1" applyBorder="1" applyAlignment="1" applyProtection="1">
      <alignment/>
      <protection/>
    </xf>
    <xf numFmtId="0" fontId="0" fillId="0" borderId="16" xfId="0" applyFont="1" applyBorder="1" applyAlignment="1">
      <alignment/>
    </xf>
    <xf numFmtId="164" fontId="18" fillId="0" borderId="0" xfId="0" applyNumberFormat="1" applyFont="1" applyBorder="1" applyAlignment="1" applyProtection="1">
      <alignment horizontal="left"/>
      <protection/>
    </xf>
    <xf numFmtId="0" fontId="14" fillId="0" borderId="0" xfId="0" applyFont="1" applyBorder="1" applyAlignment="1">
      <alignment/>
    </xf>
    <xf numFmtId="0" fontId="0" fillId="33" borderId="20" xfId="0" applyFont="1" applyFill="1" applyBorder="1" applyAlignment="1">
      <alignment/>
    </xf>
    <xf numFmtId="0" fontId="0" fillId="0" borderId="10" xfId="0" applyFont="1" applyBorder="1" applyAlignment="1">
      <alignment/>
    </xf>
    <xf numFmtId="0" fontId="0" fillId="0" borderId="10" xfId="0" applyBorder="1" applyAlignment="1">
      <alignment/>
    </xf>
    <xf numFmtId="9" fontId="0" fillId="0" borderId="16" xfId="60" applyFont="1" applyBorder="1" applyAlignment="1">
      <alignment/>
    </xf>
    <xf numFmtId="9" fontId="0" fillId="0" borderId="0" xfId="60" applyFont="1" applyBorder="1" applyAlignment="1">
      <alignment/>
    </xf>
    <xf numFmtId="9" fontId="0" fillId="0" borderId="0" xfId="0" applyNumberFormat="1" applyBorder="1" applyAlignment="1">
      <alignment/>
    </xf>
    <xf numFmtId="37" fontId="12" fillId="0" borderId="16" xfId="0" applyNumberFormat="1" applyFont="1" applyBorder="1" applyAlignment="1">
      <alignment/>
    </xf>
    <xf numFmtId="3" fontId="0" fillId="0" borderId="16" xfId="0" applyNumberFormat="1" applyFont="1" applyBorder="1" applyAlignment="1" applyProtection="1">
      <alignment/>
      <protection/>
    </xf>
    <xf numFmtId="168" fontId="35" fillId="0" borderId="16" xfId="42" applyNumberFormat="1" applyFont="1" applyBorder="1" applyAlignment="1">
      <alignment/>
    </xf>
    <xf numFmtId="168" fontId="16" fillId="0" borderId="16" xfId="42" applyNumberFormat="1" applyFont="1" applyBorder="1" applyAlignment="1">
      <alignment/>
    </xf>
    <xf numFmtId="164" fontId="0" fillId="0" borderId="18" xfId="0" applyNumberFormat="1" applyFont="1" applyBorder="1" applyAlignment="1" applyProtection="1">
      <alignment/>
      <protection/>
    </xf>
    <xf numFmtId="164" fontId="14" fillId="0" borderId="11" xfId="0" applyNumberFormat="1" applyFont="1" applyBorder="1" applyAlignment="1" applyProtection="1">
      <alignment horizontal="left"/>
      <protection/>
    </xf>
    <xf numFmtId="164" fontId="5" fillId="0" borderId="16" xfId="0" applyNumberFormat="1" applyFont="1" applyBorder="1" applyAlignment="1" applyProtection="1">
      <alignment horizontal="left"/>
      <protection/>
    </xf>
    <xf numFmtId="164" fontId="5" fillId="0" borderId="16" xfId="0" applyNumberFormat="1" applyFont="1" applyBorder="1" applyAlignment="1" applyProtection="1">
      <alignment/>
      <protection/>
    </xf>
    <xf numFmtId="164" fontId="4" fillId="0" borderId="18" xfId="0" applyNumberFormat="1" applyFont="1" applyBorder="1" applyAlignment="1" applyProtection="1">
      <alignment horizontal="left"/>
      <protection/>
    </xf>
    <xf numFmtId="164" fontId="5" fillId="0" borderId="11" xfId="0" applyNumberFormat="1" applyFont="1" applyBorder="1" applyAlignment="1" applyProtection="1">
      <alignment/>
      <protection/>
    </xf>
    <xf numFmtId="164" fontId="5" fillId="0" borderId="11" xfId="0" applyNumberFormat="1" applyFont="1" applyBorder="1" applyAlignment="1" applyProtection="1">
      <alignment horizontal="left"/>
      <protection/>
    </xf>
    <xf numFmtId="0" fontId="16" fillId="0" borderId="16" xfId="0" applyFont="1" applyBorder="1" applyAlignment="1">
      <alignment/>
    </xf>
    <xf numFmtId="0" fontId="16" fillId="0" borderId="26" xfId="0" applyFont="1" applyBorder="1" applyAlignment="1">
      <alignment/>
    </xf>
    <xf numFmtId="168" fontId="35" fillId="0" borderId="26" xfId="42" applyNumberFormat="1" applyFont="1" applyBorder="1" applyAlignment="1">
      <alignment/>
    </xf>
    <xf numFmtId="164" fontId="14" fillId="0" borderId="16" xfId="0" applyNumberFormat="1" applyFont="1" applyBorder="1" applyAlignment="1" applyProtection="1">
      <alignment horizontal="left"/>
      <protection/>
    </xf>
    <xf numFmtId="9" fontId="17" fillId="0" borderId="27" xfId="60" applyFont="1" applyFill="1" applyBorder="1" applyAlignment="1">
      <alignment horizontal="center"/>
    </xf>
    <xf numFmtId="0" fontId="17" fillId="0" borderId="27" xfId="0" applyFont="1" applyFill="1" applyBorder="1" applyAlignment="1">
      <alignment horizontal="center"/>
    </xf>
    <xf numFmtId="168" fontId="34" fillId="0" borderId="0" xfId="42" applyNumberFormat="1" applyFont="1" applyAlignment="1">
      <alignment horizontal="center"/>
    </xf>
    <xf numFmtId="9" fontId="15" fillId="0" borderId="0" xfId="60" applyFont="1" applyBorder="1" applyAlignment="1">
      <alignment/>
    </xf>
    <xf numFmtId="168" fontId="15" fillId="0" borderId="18" xfId="42" applyNumberFormat="1" applyFont="1" applyFill="1" applyBorder="1" applyAlignment="1" applyProtection="1">
      <alignment/>
      <protection/>
    </xf>
    <xf numFmtId="0" fontId="0" fillId="33" borderId="14" xfId="0" applyFill="1" applyBorder="1" applyAlignment="1">
      <alignment/>
    </xf>
    <xf numFmtId="168" fontId="35" fillId="33" borderId="14" xfId="42" applyNumberFormat="1" applyFont="1" applyFill="1" applyBorder="1" applyAlignment="1">
      <alignment/>
    </xf>
    <xf numFmtId="168" fontId="16" fillId="33" borderId="14" xfId="42" applyNumberFormat="1" applyFont="1" applyFill="1" applyBorder="1" applyAlignment="1">
      <alignment/>
    </xf>
    <xf numFmtId="168" fontId="0" fillId="0" borderId="0" xfId="42" applyNumberFormat="1" applyFont="1" applyAlignment="1" quotePrefix="1">
      <alignment horizontal="center"/>
    </xf>
    <xf numFmtId="37" fontId="15" fillId="0" borderId="28" xfId="0" applyNumberFormat="1" applyFont="1" applyFill="1" applyBorder="1" applyAlignment="1" applyProtection="1">
      <alignment/>
      <protection/>
    </xf>
    <xf numFmtId="168" fontId="0" fillId="0" borderId="0" xfId="42" applyNumberFormat="1" applyFont="1" applyAlignment="1" applyProtection="1">
      <alignment/>
      <protection/>
    </xf>
    <xf numFmtId="168" fontId="50" fillId="0" borderId="0" xfId="42" applyNumberFormat="1" applyFont="1" applyAlignment="1">
      <alignment/>
    </xf>
    <xf numFmtId="168" fontId="50" fillId="0" borderId="11" xfId="42" applyNumberFormat="1" applyFont="1" applyBorder="1" applyAlignment="1">
      <alignment/>
    </xf>
    <xf numFmtId="168" fontId="50" fillId="0" borderId="16" xfId="42" applyNumberFormat="1" applyFont="1" applyBorder="1" applyAlignment="1">
      <alignment/>
    </xf>
    <xf numFmtId="0" fontId="50" fillId="0" borderId="0" xfId="0" applyFont="1" applyBorder="1" applyAlignment="1">
      <alignment/>
    </xf>
    <xf numFmtId="0" fontId="50" fillId="0" borderId="0" xfId="0" applyFont="1" applyAlignment="1">
      <alignment/>
    </xf>
    <xf numFmtId="168" fontId="50" fillId="0" borderId="0" xfId="42" applyNumberFormat="1" applyFont="1" applyBorder="1" applyAlignment="1">
      <alignment/>
    </xf>
    <xf numFmtId="168" fontId="50" fillId="0" borderId="0" xfId="0" applyNumberFormat="1" applyFont="1" applyAlignment="1">
      <alignment/>
    </xf>
    <xf numFmtId="168" fontId="50" fillId="0" borderId="16" xfId="0" applyNumberFormat="1" applyFont="1" applyBorder="1" applyAlignment="1">
      <alignment/>
    </xf>
    <xf numFmtId="168" fontId="51" fillId="0" borderId="0" xfId="42" applyNumberFormat="1" applyFont="1" applyFill="1" applyBorder="1" applyAlignment="1" applyProtection="1">
      <alignment/>
      <protection/>
    </xf>
    <xf numFmtId="168" fontId="51" fillId="0" borderId="0" xfId="42" applyNumberFormat="1" applyFont="1" applyAlignment="1">
      <alignment/>
    </xf>
    <xf numFmtId="0" fontId="50" fillId="0" borderId="11" xfId="0" applyFont="1" applyBorder="1" applyAlignment="1">
      <alignment/>
    </xf>
    <xf numFmtId="0" fontId="50" fillId="33" borderId="11" xfId="0" applyFont="1" applyFill="1" applyBorder="1" applyAlignment="1">
      <alignment/>
    </xf>
    <xf numFmtId="0" fontId="50" fillId="33" borderId="0" xfId="0" applyFont="1" applyFill="1" applyBorder="1" applyAlignment="1">
      <alignment/>
    </xf>
    <xf numFmtId="168" fontId="50" fillId="0" borderId="11" xfId="0" applyNumberFormat="1" applyFont="1" applyBorder="1" applyAlignment="1">
      <alignment/>
    </xf>
    <xf numFmtId="168" fontId="50" fillId="0" borderId="14" xfId="0" applyNumberFormat="1" applyFont="1" applyBorder="1" applyAlignment="1">
      <alignment/>
    </xf>
    <xf numFmtId="0" fontId="50" fillId="0" borderId="0" xfId="0" applyFont="1" applyFill="1" applyBorder="1" applyAlignment="1">
      <alignment/>
    </xf>
    <xf numFmtId="0" fontId="50" fillId="33" borderId="16" xfId="0" applyFont="1" applyFill="1" applyBorder="1" applyAlignment="1">
      <alignment/>
    </xf>
    <xf numFmtId="0" fontId="50" fillId="33" borderId="21" xfId="0" applyFont="1" applyFill="1" applyBorder="1" applyAlignment="1">
      <alignment/>
    </xf>
    <xf numFmtId="168" fontId="50" fillId="0" borderId="15" xfId="0" applyNumberFormat="1" applyFont="1" applyBorder="1" applyAlignment="1">
      <alignment/>
    </xf>
    <xf numFmtId="0" fontId="50" fillId="33" borderId="12" xfId="0" applyFont="1" applyFill="1" applyBorder="1" applyAlignment="1">
      <alignment/>
    </xf>
    <xf numFmtId="0" fontId="50" fillId="33" borderId="19" xfId="0" applyFont="1" applyFill="1" applyBorder="1" applyAlignment="1">
      <alignment/>
    </xf>
    <xf numFmtId="168" fontId="50" fillId="0" borderId="29" xfId="0" applyNumberFormat="1" applyFont="1" applyBorder="1" applyAlignment="1">
      <alignment/>
    </xf>
    <xf numFmtId="168" fontId="50" fillId="0" borderId="26" xfId="0" applyNumberFormat="1" applyFont="1" applyBorder="1" applyAlignment="1">
      <alignment/>
    </xf>
    <xf numFmtId="168" fontId="50" fillId="0" borderId="30" xfId="0" applyNumberFormat="1" applyFont="1" applyBorder="1" applyAlignment="1">
      <alignment/>
    </xf>
    <xf numFmtId="3" fontId="5" fillId="0" borderId="14" xfId="0" applyNumberFormat="1" applyFont="1" applyBorder="1" applyAlignment="1" applyProtection="1">
      <alignment/>
      <protection/>
    </xf>
    <xf numFmtId="164" fontId="5" fillId="0" borderId="14" xfId="0" applyNumberFormat="1" applyFont="1" applyBorder="1" applyAlignment="1" applyProtection="1">
      <alignment/>
      <protection/>
    </xf>
    <xf numFmtId="168" fontId="35" fillId="0" borderId="14" xfId="42" applyNumberFormat="1" applyFont="1" applyBorder="1" applyAlignment="1">
      <alignment/>
    </xf>
    <xf numFmtId="168" fontId="54" fillId="0" borderId="31" xfId="42" applyNumberFormat="1" applyFont="1" applyFill="1" applyBorder="1" applyAlignment="1" applyProtection="1">
      <alignment/>
      <protection/>
    </xf>
    <xf numFmtId="168" fontId="54" fillId="0" borderId="0" xfId="42" applyNumberFormat="1" applyFont="1" applyFill="1" applyBorder="1" applyAlignment="1" applyProtection="1">
      <alignment/>
      <protection/>
    </xf>
    <xf numFmtId="168" fontId="54" fillId="0" borderId="11" xfId="42" applyNumberFormat="1" applyFont="1" applyFill="1" applyBorder="1" applyAlignment="1" applyProtection="1">
      <alignment/>
      <protection/>
    </xf>
    <xf numFmtId="37" fontId="54" fillId="0" borderId="10" xfId="0" applyNumberFormat="1" applyFont="1" applyFill="1" applyBorder="1" applyAlignment="1" applyProtection="1">
      <alignment/>
      <protection/>
    </xf>
    <xf numFmtId="0" fontId="55" fillId="0" borderId="32" xfId="0" applyFont="1" applyFill="1" applyBorder="1" applyAlignment="1">
      <alignment/>
    </xf>
    <xf numFmtId="0" fontId="56" fillId="0" borderId="10" xfId="0" applyFont="1" applyFill="1" applyBorder="1" applyAlignment="1">
      <alignment/>
    </xf>
    <xf numFmtId="37" fontId="57" fillId="0" borderId="10" xfId="0" applyNumberFormat="1" applyFont="1" applyFill="1" applyBorder="1" applyAlignment="1" applyProtection="1">
      <alignment/>
      <protection/>
    </xf>
    <xf numFmtId="37" fontId="57" fillId="0" borderId="33" xfId="0" applyNumberFormat="1" applyFont="1" applyFill="1" applyBorder="1" applyAlignment="1" applyProtection="1">
      <alignment/>
      <protection/>
    </xf>
    <xf numFmtId="37" fontId="50" fillId="0" borderId="0" xfId="0" applyNumberFormat="1" applyFont="1" applyBorder="1" applyAlignment="1" applyProtection="1">
      <alignment/>
      <protection/>
    </xf>
    <xf numFmtId="168" fontId="50" fillId="0" borderId="0" xfId="0" applyNumberFormat="1" applyFont="1" applyBorder="1" applyAlignment="1">
      <alignment/>
    </xf>
    <xf numFmtId="168" fontId="50" fillId="0" borderId="13" xfId="0" applyNumberFormat="1" applyFont="1" applyBorder="1" applyAlignment="1">
      <alignment/>
    </xf>
    <xf numFmtId="173" fontId="50" fillId="0" borderId="0" xfId="60" applyNumberFormat="1" applyFont="1" applyAlignment="1">
      <alignment/>
    </xf>
    <xf numFmtId="168" fontId="27" fillId="0" borderId="0" xfId="42" applyNumberFormat="1" applyFont="1" applyAlignment="1">
      <alignment horizontal="center"/>
    </xf>
    <xf numFmtId="1" fontId="27" fillId="0" borderId="11" xfId="42" applyNumberFormat="1" applyFont="1" applyBorder="1" applyAlignment="1">
      <alignment horizontal="center"/>
    </xf>
    <xf numFmtId="168" fontId="15" fillId="0" borderId="12" xfId="42" applyNumberFormat="1" applyFont="1" applyFill="1" applyBorder="1" applyAlignment="1" applyProtection="1">
      <alignment/>
      <protection/>
    </xf>
    <xf numFmtId="9" fontId="35" fillId="0" borderId="11" xfId="60" applyFont="1" applyBorder="1" applyAlignment="1">
      <alignment horizontal="right"/>
    </xf>
    <xf numFmtId="173" fontId="50" fillId="0" borderId="0" xfId="60" applyNumberFormat="1" applyFont="1" applyBorder="1" applyAlignment="1">
      <alignment/>
    </xf>
    <xf numFmtId="168" fontId="0" fillId="0" borderId="21" xfId="0" applyNumberFormat="1" applyBorder="1" applyAlignment="1">
      <alignment/>
    </xf>
    <xf numFmtId="168" fontId="0" fillId="0" borderId="0" xfId="0" applyNumberFormat="1" applyFont="1" applyAlignment="1">
      <alignment/>
    </xf>
    <xf numFmtId="168" fontId="0" fillId="0" borderId="34" xfId="42" applyNumberFormat="1" applyFont="1" applyBorder="1" applyAlignment="1">
      <alignment/>
    </xf>
    <xf numFmtId="168" fontId="0" fillId="0" borderId="22" xfId="42" applyNumberFormat="1" applyFont="1" applyBorder="1" applyAlignment="1">
      <alignment/>
    </xf>
    <xf numFmtId="168" fontId="0" fillId="0" borderId="35" xfId="42" applyNumberFormat="1" applyFont="1" applyBorder="1" applyAlignment="1">
      <alignment/>
    </xf>
    <xf numFmtId="168" fontId="58" fillId="0" borderId="31" xfId="42" applyNumberFormat="1" applyFont="1" applyFill="1" applyBorder="1" applyAlignment="1">
      <alignment/>
    </xf>
    <xf numFmtId="173" fontId="17" fillId="0" borderId="27" xfId="60" applyNumberFormat="1" applyFont="1" applyFill="1" applyBorder="1" applyAlignment="1">
      <alignment horizontal="center"/>
    </xf>
    <xf numFmtId="0" fontId="0" fillId="0" borderId="0" xfId="0" applyFont="1" applyFill="1" applyAlignment="1">
      <alignment/>
    </xf>
    <xf numFmtId="167" fontId="0" fillId="0" borderId="0" xfId="42" applyNumberFormat="1" applyFont="1" applyBorder="1" applyAlignment="1" applyProtection="1">
      <alignment/>
      <protection/>
    </xf>
    <xf numFmtId="167" fontId="15" fillId="0" borderId="0" xfId="42" applyNumberFormat="1" applyFont="1" applyFill="1" applyBorder="1" applyAlignment="1" applyProtection="1">
      <alignment/>
      <protection/>
    </xf>
    <xf numFmtId="168" fontId="0" fillId="0" borderId="0" xfId="42" applyNumberFormat="1" applyFont="1" applyBorder="1" applyAlignment="1" applyProtection="1">
      <alignment/>
      <protection/>
    </xf>
    <xf numFmtId="167" fontId="0" fillId="0" borderId="18" xfId="42" applyNumberFormat="1" applyFont="1" applyBorder="1" applyAlignment="1" applyProtection="1">
      <alignment/>
      <protection/>
    </xf>
    <xf numFmtId="167" fontId="0" fillId="0" borderId="13" xfId="42" applyNumberFormat="1" applyFont="1" applyFill="1" applyBorder="1" applyAlignment="1" applyProtection="1">
      <alignment/>
      <protection/>
    </xf>
    <xf numFmtId="167" fontId="0" fillId="0" borderId="14" xfId="42" applyNumberFormat="1" applyFont="1" applyFill="1" applyBorder="1" applyAlignment="1" applyProtection="1">
      <alignment/>
      <protection/>
    </xf>
    <xf numFmtId="167" fontId="0" fillId="0" borderId="15" xfId="42" applyNumberFormat="1" applyFont="1" applyFill="1" applyBorder="1" applyAlignment="1" applyProtection="1">
      <alignment/>
      <protection/>
    </xf>
    <xf numFmtId="167" fontId="15" fillId="0" borderId="20" xfId="42" applyNumberFormat="1" applyFont="1" applyFill="1" applyBorder="1" applyAlignment="1" applyProtection="1">
      <alignment/>
      <protection/>
    </xf>
    <xf numFmtId="167" fontId="15" fillId="0" borderId="21" xfId="42" applyNumberFormat="1" applyFont="1" applyFill="1" applyBorder="1" applyAlignment="1" applyProtection="1">
      <alignment/>
      <protection/>
    </xf>
    <xf numFmtId="37" fontId="17" fillId="0" borderId="0" xfId="0" applyNumberFormat="1" applyFont="1" applyBorder="1" applyAlignment="1" applyProtection="1">
      <alignment horizontal="center"/>
      <protection/>
    </xf>
    <xf numFmtId="168" fontId="0" fillId="0" borderId="11" xfId="42" applyNumberFormat="1" applyFont="1" applyBorder="1" applyAlignment="1" applyProtection="1">
      <alignment/>
      <protection/>
    </xf>
    <xf numFmtId="0" fontId="0" fillId="0" borderId="0" xfId="0" applyFont="1" applyAlignment="1">
      <alignment horizontal="right"/>
    </xf>
    <xf numFmtId="0" fontId="0" fillId="0" borderId="0" xfId="0" applyNumberFormat="1" applyFont="1" applyAlignment="1">
      <alignment horizontal="right"/>
    </xf>
    <xf numFmtId="41" fontId="0" fillId="0" borderId="0" xfId="42" applyNumberFormat="1" applyFont="1" applyAlignment="1" applyProtection="1">
      <alignment/>
      <protection/>
    </xf>
    <xf numFmtId="182" fontId="0" fillId="0" borderId="0" xfId="44" applyNumberFormat="1" applyFont="1" applyAlignment="1" applyProtection="1">
      <alignment/>
      <protection/>
    </xf>
    <xf numFmtId="168" fontId="12" fillId="0" borderId="0" xfId="42" applyNumberFormat="1" applyFont="1" applyBorder="1" applyAlignment="1" applyProtection="1">
      <alignment horizontal="right"/>
      <protection/>
    </xf>
    <xf numFmtId="168" fontId="51" fillId="0" borderId="13" xfId="0" applyNumberFormat="1" applyFont="1" applyFill="1" applyBorder="1" applyAlignment="1">
      <alignment/>
    </xf>
    <xf numFmtId="37" fontId="14" fillId="0" borderId="0" xfId="0" applyNumberFormat="1" applyFont="1" applyAlignment="1">
      <alignment/>
    </xf>
    <xf numFmtId="168" fontId="16" fillId="0" borderId="0" xfId="0" applyNumberFormat="1" applyFont="1" applyAlignment="1">
      <alignment/>
    </xf>
    <xf numFmtId="168" fontId="0" fillId="0" borderId="0" xfId="42" applyNumberFormat="1" applyFont="1" applyBorder="1" applyAlignment="1" applyProtection="1">
      <alignment horizontal="left"/>
      <protection/>
    </xf>
    <xf numFmtId="168" fontId="0" fillId="0" borderId="11" xfId="42" applyNumberFormat="1" applyFont="1" applyBorder="1" applyAlignment="1" applyProtection="1">
      <alignment horizontal="left"/>
      <protection/>
    </xf>
    <xf numFmtId="173" fontId="15" fillId="0" borderId="11" xfId="60" applyNumberFormat="1" applyFont="1" applyBorder="1" applyAlignment="1" applyProtection="1">
      <alignment/>
      <protection/>
    </xf>
    <xf numFmtId="164" fontId="0" fillId="0" borderId="11" xfId="0" applyNumberFormat="1" applyFont="1" applyBorder="1" applyAlignment="1" applyProtection="1" quotePrefix="1">
      <alignment horizontal="left"/>
      <protection/>
    </xf>
    <xf numFmtId="41" fontId="15" fillId="0" borderId="11" xfId="42" applyNumberFormat="1" applyFont="1" applyBorder="1" applyAlignment="1" applyProtection="1">
      <alignment/>
      <protection/>
    </xf>
    <xf numFmtId="168" fontId="16" fillId="0" borderId="0" xfId="42" applyNumberFormat="1" applyFont="1" applyAlignment="1">
      <alignment horizontal="right"/>
    </xf>
    <xf numFmtId="41" fontId="0" fillId="0" borderId="0" xfId="42" applyNumberFormat="1" applyFont="1" applyBorder="1" applyAlignment="1" applyProtection="1">
      <alignment/>
      <protection/>
    </xf>
    <xf numFmtId="164" fontId="12" fillId="0" borderId="11" xfId="0" applyNumberFormat="1" applyFont="1" applyBorder="1" applyAlignment="1" applyProtection="1">
      <alignment horizontal="left"/>
      <protection/>
    </xf>
    <xf numFmtId="182" fontId="0" fillId="0" borderId="11" xfId="44" applyNumberFormat="1" applyFont="1" applyBorder="1" applyAlignment="1" applyProtection="1">
      <alignment/>
      <protection/>
    </xf>
    <xf numFmtId="182" fontId="0" fillId="0" borderId="0" xfId="44" applyNumberFormat="1" applyFont="1" applyBorder="1" applyAlignment="1" applyProtection="1">
      <alignment/>
      <protection/>
    </xf>
    <xf numFmtId="164" fontId="14" fillId="0" borderId="0" xfId="0" applyNumberFormat="1" applyFont="1" applyBorder="1" applyAlignment="1" applyProtection="1">
      <alignment horizontal="left"/>
      <protection/>
    </xf>
    <xf numFmtId="41" fontId="15" fillId="0" borderId="0" xfId="42" applyNumberFormat="1" applyFont="1" applyBorder="1" applyAlignment="1" applyProtection="1">
      <alignment/>
      <protection/>
    </xf>
    <xf numFmtId="168" fontId="15" fillId="0" borderId="11" xfId="42" applyNumberFormat="1" applyFont="1" applyBorder="1" applyAlignment="1" applyProtection="1">
      <alignment/>
      <protection/>
    </xf>
    <xf numFmtId="0" fontId="0" fillId="33" borderId="17" xfId="0" applyFill="1" applyBorder="1" applyAlignment="1">
      <alignment/>
    </xf>
    <xf numFmtId="164" fontId="0" fillId="33" borderId="16" xfId="0" applyNumberFormat="1" applyFont="1" applyFill="1" applyBorder="1" applyAlignment="1" applyProtection="1">
      <alignment horizontal="left"/>
      <protection/>
    </xf>
    <xf numFmtId="164" fontId="18" fillId="0" borderId="0" xfId="0" applyNumberFormat="1" applyFont="1" applyBorder="1" applyAlignment="1" applyProtection="1">
      <alignment horizontal="left" indent="1"/>
      <protection/>
    </xf>
    <xf numFmtId="164" fontId="14" fillId="0" borderId="0" xfId="0" applyNumberFormat="1" applyFont="1" applyBorder="1" applyAlignment="1" applyProtection="1">
      <alignment horizontal="left" indent="1"/>
      <protection/>
    </xf>
    <xf numFmtId="9" fontId="15" fillId="0" borderId="0" xfId="60" applyNumberFormat="1" applyFont="1" applyBorder="1" applyAlignment="1" applyProtection="1">
      <alignment/>
      <protection/>
    </xf>
    <xf numFmtId="0" fontId="0" fillId="33" borderId="0" xfId="0" applyFill="1" applyBorder="1" applyAlignment="1">
      <alignment/>
    </xf>
    <xf numFmtId="168" fontId="12" fillId="33" borderId="25" xfId="0" applyNumberFormat="1" applyFont="1" applyFill="1" applyBorder="1" applyAlignment="1">
      <alignment/>
    </xf>
    <xf numFmtId="0" fontId="50" fillId="33" borderId="25" xfId="0" applyFont="1" applyFill="1" applyBorder="1" applyAlignment="1">
      <alignment/>
    </xf>
    <xf numFmtId="168" fontId="35" fillId="33" borderId="15" xfId="42" applyNumberFormat="1" applyFont="1" applyFill="1" applyBorder="1" applyAlignment="1">
      <alignment/>
    </xf>
    <xf numFmtId="168" fontId="35" fillId="35" borderId="15" xfId="42" applyNumberFormat="1" applyFont="1" applyFill="1" applyBorder="1" applyAlignment="1">
      <alignment/>
    </xf>
    <xf numFmtId="168" fontId="15" fillId="0" borderId="20" xfId="42" applyNumberFormat="1" applyFont="1" applyBorder="1" applyAlignment="1">
      <alignment/>
    </xf>
    <xf numFmtId="168" fontId="15" fillId="0" borderId="21" xfId="42" applyNumberFormat="1" applyFont="1" applyBorder="1" applyAlignment="1">
      <alignment/>
    </xf>
    <xf numFmtId="168" fontId="0" fillId="0" borderId="20" xfId="42" applyNumberFormat="1" applyFont="1" applyBorder="1" applyAlignment="1">
      <alignment/>
    </xf>
    <xf numFmtId="0" fontId="15" fillId="0" borderId="21" xfId="0" applyFont="1" applyBorder="1" applyAlignment="1">
      <alignment horizontal="center"/>
    </xf>
    <xf numFmtId="0" fontId="15" fillId="0" borderId="12" xfId="0" applyFont="1" applyBorder="1" applyAlignment="1">
      <alignment horizontal="center"/>
    </xf>
    <xf numFmtId="0" fontId="26" fillId="34" borderId="17" xfId="0" applyFont="1" applyFill="1" applyBorder="1" applyAlignment="1">
      <alignment/>
    </xf>
    <xf numFmtId="0" fontId="60" fillId="34" borderId="16" xfId="0" applyFont="1" applyFill="1" applyBorder="1" applyAlignment="1">
      <alignment/>
    </xf>
    <xf numFmtId="0" fontId="60" fillId="34" borderId="19" xfId="0" applyFont="1" applyFill="1" applyBorder="1" applyAlignment="1">
      <alignment/>
    </xf>
    <xf numFmtId="0" fontId="5" fillId="0" borderId="0" xfId="0" applyFont="1" applyBorder="1" applyAlignment="1">
      <alignment/>
    </xf>
    <xf numFmtId="168" fontId="0" fillId="0" borderId="0" xfId="42" applyNumberFormat="1" applyFont="1" applyAlignment="1">
      <alignment/>
    </xf>
    <xf numFmtId="0" fontId="0" fillId="0" borderId="0" xfId="0" applyFont="1" applyAlignment="1">
      <alignment horizontal="left"/>
    </xf>
    <xf numFmtId="0" fontId="4" fillId="0" borderId="0" xfId="0" applyFont="1" applyBorder="1" applyAlignment="1">
      <alignment/>
    </xf>
    <xf numFmtId="0" fontId="14" fillId="0" borderId="0" xfId="0" applyFont="1" applyBorder="1" applyAlignment="1">
      <alignment horizontal="centerContinuous"/>
    </xf>
    <xf numFmtId="168" fontId="0" fillId="0" borderId="17" xfId="42" applyNumberFormat="1" applyFont="1" applyBorder="1" applyAlignment="1">
      <alignment/>
    </xf>
    <xf numFmtId="168" fontId="0" fillId="0" borderId="16" xfId="42" applyNumberFormat="1" applyFont="1" applyBorder="1" applyAlignment="1">
      <alignment/>
    </xf>
    <xf numFmtId="168" fontId="0" fillId="0" borderId="19" xfId="42" applyNumberFormat="1" applyFont="1" applyBorder="1" applyAlignment="1">
      <alignment/>
    </xf>
    <xf numFmtId="168" fontId="0" fillId="0" borderId="18" xfId="42" applyNumberFormat="1" applyFont="1" applyBorder="1" applyAlignment="1">
      <alignment/>
    </xf>
    <xf numFmtId="168" fontId="0" fillId="0" borderId="11" xfId="42" applyNumberFormat="1" applyFont="1" applyBorder="1" applyAlignment="1">
      <alignment/>
    </xf>
    <xf numFmtId="168" fontId="0" fillId="0" borderId="12" xfId="42" applyNumberFormat="1" applyFont="1" applyBorder="1" applyAlignment="1">
      <alignment/>
    </xf>
    <xf numFmtId="0" fontId="14" fillId="0" borderId="0" xfId="0" applyFont="1" applyAlignment="1">
      <alignment horizontal="centerContinuous"/>
    </xf>
    <xf numFmtId="0" fontId="0" fillId="0" borderId="0" xfId="0" applyFont="1" applyBorder="1" applyAlignment="1">
      <alignment horizontal="centerContinuous"/>
    </xf>
    <xf numFmtId="0" fontId="14" fillId="0" borderId="11" xfId="0" applyFont="1" applyBorder="1" applyAlignment="1">
      <alignment horizontal="center"/>
    </xf>
    <xf numFmtId="1" fontId="0" fillId="0" borderId="0" xfId="0" applyNumberFormat="1" applyFont="1" applyBorder="1" applyAlignment="1">
      <alignment horizontal="center"/>
    </xf>
    <xf numFmtId="0" fontId="0" fillId="0" borderId="23" xfId="0" applyFont="1" applyBorder="1" applyAlignment="1">
      <alignment/>
    </xf>
    <xf numFmtId="0" fontId="13" fillId="0" borderId="0" xfId="0" applyFont="1" applyAlignment="1">
      <alignment horizontal="left"/>
    </xf>
    <xf numFmtId="168" fontId="0" fillId="0" borderId="0" xfId="42" applyNumberFormat="1" applyFont="1" applyAlignment="1">
      <alignment horizontal="right"/>
    </xf>
    <xf numFmtId="168" fontId="0" fillId="0" borderId="0" xfId="42" applyNumberFormat="1" applyFont="1" applyBorder="1" applyAlignment="1">
      <alignment/>
    </xf>
    <xf numFmtId="0" fontId="0" fillId="0" borderId="0" xfId="0" applyFont="1" applyBorder="1" applyAlignment="1">
      <alignment horizontal="center"/>
    </xf>
    <xf numFmtId="0" fontId="61" fillId="0" borderId="0" xfId="0" applyFont="1" applyAlignment="1">
      <alignment/>
    </xf>
    <xf numFmtId="0" fontId="61" fillId="0" borderId="0" xfId="0" applyFont="1" applyBorder="1" applyAlignment="1">
      <alignment horizontal="center"/>
    </xf>
    <xf numFmtId="168" fontId="0" fillId="0" borderId="20" xfId="42" applyNumberFormat="1" applyFont="1" applyBorder="1" applyAlignment="1">
      <alignment/>
    </xf>
    <xf numFmtId="168" fontId="0" fillId="0" borderId="21" xfId="42" applyNumberFormat="1" applyFont="1" applyBorder="1" applyAlignment="1">
      <alignment/>
    </xf>
    <xf numFmtId="168" fontId="0" fillId="0" borderId="13" xfId="0" applyNumberFormat="1" applyFont="1" applyBorder="1" applyAlignment="1">
      <alignment/>
    </xf>
    <xf numFmtId="168" fontId="0" fillId="0" borderId="14" xfId="0" applyNumberFormat="1" applyFont="1" applyBorder="1" applyAlignment="1">
      <alignment/>
    </xf>
    <xf numFmtId="168" fontId="0" fillId="0" borderId="15" xfId="0" applyNumberFormat="1" applyFont="1" applyBorder="1" applyAlignment="1">
      <alignment/>
    </xf>
    <xf numFmtId="0" fontId="61" fillId="0" borderId="0" xfId="0" applyFont="1" applyBorder="1" applyAlignment="1">
      <alignment/>
    </xf>
    <xf numFmtId="0" fontId="0" fillId="0" borderId="21" xfId="0" applyFont="1" applyBorder="1" applyAlignment="1">
      <alignment/>
    </xf>
    <xf numFmtId="0" fontId="0" fillId="0" borderId="20" xfId="0" applyFont="1" applyBorder="1" applyAlignment="1">
      <alignment/>
    </xf>
    <xf numFmtId="0" fontId="61" fillId="0" borderId="0" xfId="0" applyFont="1" applyAlignment="1">
      <alignment horizontal="center"/>
    </xf>
    <xf numFmtId="43" fontId="0" fillId="0" borderId="0" xfId="42" applyNumberFormat="1" applyFont="1" applyAlignment="1">
      <alignment/>
    </xf>
    <xf numFmtId="0" fontId="63" fillId="0" borderId="0" xfId="0" applyFont="1" applyAlignment="1">
      <alignment horizontal="right"/>
    </xf>
    <xf numFmtId="0" fontId="5" fillId="0" borderId="0" xfId="0" applyFont="1" applyAlignment="1">
      <alignment horizontal="left"/>
    </xf>
    <xf numFmtId="0" fontId="62" fillId="0" borderId="0" xfId="0" applyFont="1" applyAlignment="1">
      <alignment horizontal="right"/>
    </xf>
    <xf numFmtId="0" fontId="14" fillId="0" borderId="11" xfId="0" applyFont="1" applyBorder="1" applyAlignment="1">
      <alignment horizontal="right"/>
    </xf>
    <xf numFmtId="167" fontId="0" fillId="0" borderId="13" xfId="42" applyNumberFormat="1" applyFont="1" applyBorder="1" applyAlignment="1">
      <alignment/>
    </xf>
    <xf numFmtId="167" fontId="0" fillId="0" borderId="14" xfId="42" applyNumberFormat="1" applyFont="1" applyBorder="1" applyAlignment="1">
      <alignment/>
    </xf>
    <xf numFmtId="167" fontId="0" fillId="0" borderId="15" xfId="42" applyNumberFormat="1" applyFont="1" applyBorder="1" applyAlignment="1">
      <alignment/>
    </xf>
    <xf numFmtId="0" fontId="15" fillId="0" borderId="25" xfId="0" applyFont="1" applyBorder="1" applyAlignment="1">
      <alignment horizontal="center"/>
    </xf>
    <xf numFmtId="0" fontId="15" fillId="0" borderId="24" xfId="0" applyFont="1" applyBorder="1" applyAlignment="1">
      <alignment horizontal="center"/>
    </xf>
    <xf numFmtId="0" fontId="27" fillId="0" borderId="0" xfId="0" applyFont="1" applyFill="1" applyBorder="1" applyAlignment="1">
      <alignment horizontal="center"/>
    </xf>
    <xf numFmtId="0" fontId="16" fillId="0" borderId="0" xfId="0" applyFont="1" applyFill="1" applyBorder="1" applyAlignment="1">
      <alignment/>
    </xf>
    <xf numFmtId="0" fontId="27" fillId="0" borderId="10" xfId="0" applyFont="1" applyFill="1" applyBorder="1" applyAlignment="1">
      <alignment horizontal="center"/>
    </xf>
    <xf numFmtId="0" fontId="16" fillId="0" borderId="10" xfId="0" applyFont="1" applyFill="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0" xfId="0" applyFont="1" applyAlignment="1">
      <alignment/>
    </xf>
    <xf numFmtId="168" fontId="36" fillId="0" borderId="23" xfId="42" applyNumberFormat="1" applyFont="1" applyBorder="1" applyAlignment="1">
      <alignment/>
    </xf>
    <xf numFmtId="168" fontId="36" fillId="0" borderId="25" xfId="42" applyNumberFormat="1" applyFont="1" applyBorder="1" applyAlignment="1">
      <alignment/>
    </xf>
    <xf numFmtId="168" fontId="36" fillId="0" borderId="24" xfId="42" applyNumberFormat="1" applyFont="1" applyBorder="1" applyAlignment="1">
      <alignment/>
    </xf>
    <xf numFmtId="0" fontId="27" fillId="0" borderId="0" xfId="0" applyFont="1" applyAlignment="1">
      <alignment horizontal="right"/>
    </xf>
    <xf numFmtId="0" fontId="16" fillId="0" borderId="0" xfId="0" applyFont="1" applyAlignment="1">
      <alignment horizontal="right"/>
    </xf>
    <xf numFmtId="168" fontId="36" fillId="0" borderId="0" xfId="42" applyNumberFormat="1" applyFont="1" applyBorder="1" applyAlignment="1">
      <alignment/>
    </xf>
    <xf numFmtId="0" fontId="27" fillId="0" borderId="13" xfId="0" applyFont="1" applyBorder="1" applyAlignment="1">
      <alignment/>
    </xf>
    <xf numFmtId="0" fontId="27" fillId="0" borderId="10" xfId="0" applyFont="1" applyFill="1" applyBorder="1" applyAlignment="1">
      <alignment horizontal="left"/>
    </xf>
    <xf numFmtId="203" fontId="15" fillId="0" borderId="0" xfId="0" applyNumberFormat="1" applyFont="1" applyBorder="1" applyAlignment="1">
      <alignment horizontal="left"/>
    </xf>
    <xf numFmtId="0" fontId="16" fillId="0" borderId="0" xfId="0" applyFont="1" applyBorder="1" applyAlignment="1">
      <alignment horizontal="right"/>
    </xf>
    <xf numFmtId="182" fontId="0" fillId="0" borderId="0" xfId="44" applyNumberFormat="1" applyFont="1" applyAlignment="1">
      <alignment/>
    </xf>
    <xf numFmtId="168" fontId="27" fillId="0" borderId="0" xfId="42" applyNumberFormat="1" applyFont="1" applyFill="1" applyBorder="1" applyAlignment="1">
      <alignment horizontal="center"/>
    </xf>
    <xf numFmtId="168" fontId="27" fillId="0" borderId="36" xfId="42" applyNumberFormat="1" applyFont="1" applyFill="1" applyBorder="1" applyAlignment="1">
      <alignment horizontal="center"/>
    </xf>
    <xf numFmtId="168" fontId="27" fillId="0" borderId="23" xfId="42" applyNumberFormat="1" applyFont="1" applyFill="1" applyBorder="1" applyAlignment="1">
      <alignment horizontal="center"/>
    </xf>
    <xf numFmtId="0" fontId="14" fillId="0" borderId="10" xfId="0" applyFont="1" applyBorder="1" applyAlignment="1">
      <alignment horizontal="center"/>
    </xf>
    <xf numFmtId="0" fontId="27" fillId="0" borderId="0" xfId="0" applyFont="1" applyBorder="1" applyAlignment="1">
      <alignment horizontal="right"/>
    </xf>
    <xf numFmtId="0" fontId="0" fillId="0" borderId="0" xfId="0" applyFont="1" applyAlignment="1">
      <alignment/>
    </xf>
    <xf numFmtId="168" fontId="15" fillId="0" borderId="0" xfId="42" applyNumberFormat="1" applyFont="1" applyAlignment="1">
      <alignment/>
    </xf>
    <xf numFmtId="0" fontId="64" fillId="0" borderId="0" xfId="0" applyFont="1" applyAlignment="1">
      <alignment horizontal="center"/>
    </xf>
    <xf numFmtId="0" fontId="65" fillId="0" borderId="0" xfId="0" applyFont="1" applyAlignment="1">
      <alignment/>
    </xf>
    <xf numFmtId="165" fontId="66" fillId="0" borderId="0" xfId="0" applyNumberFormat="1" applyFont="1" applyAlignment="1" quotePrefix="1">
      <alignment horizontal="centerContinuous"/>
    </xf>
    <xf numFmtId="0" fontId="0" fillId="33" borderId="0" xfId="0" applyFont="1" applyFill="1" applyAlignment="1">
      <alignment/>
    </xf>
    <xf numFmtId="164" fontId="0" fillId="0" borderId="0" xfId="0" applyNumberFormat="1" applyFont="1" applyFill="1" applyAlignment="1" applyProtection="1">
      <alignment horizontal="left"/>
      <protection/>
    </xf>
    <xf numFmtId="164" fontId="0" fillId="0" borderId="0" xfId="0" applyNumberFormat="1" applyFont="1" applyFill="1" applyAlignment="1" applyProtection="1">
      <alignment/>
      <protection/>
    </xf>
    <xf numFmtId="164" fontId="0" fillId="0" borderId="0" xfId="0" applyNumberFormat="1" applyFont="1" applyFill="1" applyAlignment="1" applyProtection="1">
      <alignment horizontal="right"/>
      <protection/>
    </xf>
    <xf numFmtId="164" fontId="13" fillId="0" borderId="0" xfId="0" applyNumberFormat="1" applyFont="1" applyFill="1" applyAlignment="1" applyProtection="1">
      <alignment horizontal="left"/>
      <protection/>
    </xf>
    <xf numFmtId="164" fontId="14" fillId="0" borderId="0" xfId="0" applyNumberFormat="1" applyFont="1" applyFill="1" applyAlignment="1" applyProtection="1">
      <alignment horizontal="left"/>
      <protection/>
    </xf>
    <xf numFmtId="37"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center"/>
      <protection/>
    </xf>
    <xf numFmtId="37" fontId="14" fillId="0" borderId="10" xfId="0" applyNumberFormat="1" applyFont="1" applyFill="1" applyBorder="1" applyAlignment="1" applyProtection="1">
      <alignment horizontal="left"/>
      <protection/>
    </xf>
    <xf numFmtId="164" fontId="14" fillId="0" borderId="1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horizontal="center"/>
      <protection/>
    </xf>
    <xf numFmtId="37" fontId="14" fillId="0" borderId="10" xfId="0" applyNumberFormat="1" applyFont="1" applyFill="1" applyBorder="1" applyAlignment="1" applyProtection="1">
      <alignment horizontal="center"/>
      <protection/>
    </xf>
    <xf numFmtId="37" fontId="14" fillId="0" borderId="0"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center"/>
      <protection/>
    </xf>
    <xf numFmtId="37" fontId="14" fillId="0" borderId="0" xfId="0" applyNumberFormat="1" applyFont="1" applyFill="1" applyBorder="1" applyAlignment="1" applyProtection="1">
      <alignment horizontal="center"/>
      <protection/>
    </xf>
    <xf numFmtId="9" fontId="35" fillId="0" borderId="16" xfId="60" applyFont="1" applyBorder="1" applyAlignment="1">
      <alignment/>
    </xf>
    <xf numFmtId="9" fontId="12" fillId="0" borderId="0" xfId="60" applyNumberFormat="1" applyFont="1" applyBorder="1" applyAlignment="1" applyProtection="1">
      <alignment/>
      <protection/>
    </xf>
    <xf numFmtId="0" fontId="14" fillId="0" borderId="10" xfId="0" applyFont="1" applyBorder="1" applyAlignment="1">
      <alignment horizontal="left"/>
    </xf>
    <xf numFmtId="168" fontId="0" fillId="0" borderId="0" xfId="42" applyNumberFormat="1" applyFont="1" applyAlignment="1">
      <alignment/>
    </xf>
    <xf numFmtId="0" fontId="27" fillId="33" borderId="0" xfId="0" applyFont="1" applyFill="1" applyAlignment="1">
      <alignment/>
    </xf>
    <xf numFmtId="0" fontId="0" fillId="33" borderId="0" xfId="0" applyFont="1" applyFill="1" applyAlignment="1">
      <alignment/>
    </xf>
    <xf numFmtId="168" fontId="0" fillId="33" borderId="0" xfId="42" applyNumberFormat="1" applyFont="1" applyFill="1" applyAlignment="1">
      <alignment horizontal="center"/>
    </xf>
    <xf numFmtId="9" fontId="0" fillId="33" borderId="0" xfId="60" applyFont="1" applyFill="1" applyAlignment="1">
      <alignment/>
    </xf>
    <xf numFmtId="173" fontId="0" fillId="0" borderId="0" xfId="60" applyNumberFormat="1" applyFont="1" applyAlignment="1">
      <alignment/>
    </xf>
    <xf numFmtId="0" fontId="0" fillId="0" borderId="0" xfId="0" applyFont="1" applyAlignment="1" quotePrefix="1">
      <alignment/>
    </xf>
    <xf numFmtId="0" fontId="0" fillId="0" borderId="11" xfId="0" applyFont="1" applyBorder="1" applyAlignment="1">
      <alignment/>
    </xf>
    <xf numFmtId="168" fontId="0" fillId="0" borderId="11" xfId="42" applyNumberFormat="1" applyFont="1" applyBorder="1" applyAlignment="1">
      <alignment/>
    </xf>
    <xf numFmtId="173" fontId="0" fillId="0" borderId="11" xfId="60" applyNumberFormat="1" applyFont="1" applyBorder="1" applyAlignment="1">
      <alignment/>
    </xf>
    <xf numFmtId="9" fontId="0" fillId="0" borderId="0" xfId="60" applyFont="1" applyAlignment="1">
      <alignment/>
    </xf>
    <xf numFmtId="0" fontId="0" fillId="0" borderId="0" xfId="0" applyFont="1" applyBorder="1" applyAlignment="1">
      <alignment/>
    </xf>
    <xf numFmtId="168" fontId="0" fillId="0" borderId="0" xfId="42" applyNumberFormat="1" applyFont="1" applyBorder="1" applyAlignment="1">
      <alignment/>
    </xf>
    <xf numFmtId="173" fontId="0" fillId="0" borderId="0" xfId="60" applyNumberFormat="1" applyFont="1" applyBorder="1" applyAlignment="1">
      <alignment/>
    </xf>
    <xf numFmtId="9" fontId="0" fillId="0" borderId="0" xfId="60" applyFont="1" applyBorder="1" applyAlignment="1">
      <alignment/>
    </xf>
    <xf numFmtId="168" fontId="0" fillId="33" borderId="0" xfId="42" applyNumberFormat="1" applyFont="1" applyFill="1" applyAlignment="1">
      <alignment/>
    </xf>
    <xf numFmtId="0" fontId="0" fillId="0" borderId="0" xfId="0" applyFont="1" applyAlignment="1">
      <alignment horizontal="center"/>
    </xf>
    <xf numFmtId="9" fontId="0" fillId="0" borderId="20" xfId="60" applyFont="1" applyBorder="1" applyAlignment="1">
      <alignment/>
    </xf>
    <xf numFmtId="0" fontId="0" fillId="0" borderId="11" xfId="0" applyFont="1" applyBorder="1" applyAlignment="1">
      <alignment horizontal="center"/>
    </xf>
    <xf numFmtId="9" fontId="0" fillId="0" borderId="18" xfId="60" applyFont="1" applyBorder="1" applyAlignment="1">
      <alignment/>
    </xf>
    <xf numFmtId="9" fontId="0" fillId="0" borderId="11" xfId="60" applyFont="1" applyBorder="1" applyAlignment="1">
      <alignment/>
    </xf>
    <xf numFmtId="43" fontId="0" fillId="0" borderId="0" xfId="42" applyFont="1" applyBorder="1" applyAlignment="1">
      <alignment/>
    </xf>
    <xf numFmtId="0" fontId="0" fillId="0" borderId="0" xfId="0" applyFont="1" applyBorder="1" applyAlignment="1">
      <alignment horizontal="center"/>
    </xf>
    <xf numFmtId="0" fontId="0" fillId="33" borderId="0" xfId="0" applyFont="1" applyFill="1" applyAlignment="1">
      <alignment horizontal="center"/>
    </xf>
    <xf numFmtId="0" fontId="0" fillId="33" borderId="0" xfId="0" applyFont="1" applyFill="1" applyBorder="1" applyAlignment="1">
      <alignment/>
    </xf>
    <xf numFmtId="168" fontId="0" fillId="33" borderId="0" xfId="42" applyNumberFormat="1" applyFont="1" applyFill="1" applyBorder="1" applyAlignment="1">
      <alignment/>
    </xf>
    <xf numFmtId="173" fontId="0" fillId="33" borderId="0" xfId="60" applyNumberFormat="1" applyFont="1" applyFill="1" applyBorder="1" applyAlignment="1">
      <alignment/>
    </xf>
    <xf numFmtId="9" fontId="0" fillId="33" borderId="0" xfId="60" applyFont="1" applyFill="1" applyBorder="1" applyAlignment="1">
      <alignment/>
    </xf>
    <xf numFmtId="0" fontId="0" fillId="33" borderId="0" xfId="0" applyFont="1" applyFill="1" applyBorder="1" applyAlignment="1">
      <alignment/>
    </xf>
    <xf numFmtId="168" fontId="0" fillId="0" borderId="14" xfId="42" applyNumberFormat="1" applyFont="1" applyBorder="1" applyAlignment="1">
      <alignment/>
    </xf>
    <xf numFmtId="168" fontId="0" fillId="0" borderId="15" xfId="42" applyNumberFormat="1" applyFont="1" applyBorder="1" applyAlignment="1">
      <alignment/>
    </xf>
    <xf numFmtId="0" fontId="3" fillId="0" borderId="0" xfId="0" applyFont="1" applyAlignment="1">
      <alignment horizontal="center"/>
    </xf>
    <xf numFmtId="0" fontId="0" fillId="0" borderId="0" xfId="0" applyAlignment="1">
      <alignment/>
    </xf>
    <xf numFmtId="0" fontId="0" fillId="0" borderId="12" xfId="0" applyFont="1" applyBorder="1" applyAlignment="1">
      <alignment/>
    </xf>
    <xf numFmtId="168" fontId="14" fillId="0" borderId="0" xfId="42" applyNumberFormat="1" applyFont="1" applyBorder="1" applyAlignment="1" applyProtection="1">
      <alignment horizontal="left"/>
      <protection/>
    </xf>
    <xf numFmtId="164" fontId="0" fillId="0" borderId="14" xfId="0" applyNumberFormat="1" applyFont="1" applyBorder="1" applyAlignment="1" applyProtection="1">
      <alignment/>
      <protection/>
    </xf>
    <xf numFmtId="0" fontId="14" fillId="0" borderId="0" xfId="0" applyFont="1" applyAlignment="1">
      <alignment horizontal="center"/>
    </xf>
    <xf numFmtId="0" fontId="27" fillId="0" borderId="11" xfId="0" applyFont="1" applyBorder="1" applyAlignment="1">
      <alignment horizontal="center"/>
    </xf>
    <xf numFmtId="168" fontId="16" fillId="0" borderId="16" xfId="0" applyNumberFormat="1" applyFont="1" applyBorder="1" applyAlignment="1">
      <alignment/>
    </xf>
    <xf numFmtId="168" fontId="16" fillId="0" borderId="0" xfId="0" applyNumberFormat="1" applyFont="1" applyBorder="1" applyAlignment="1">
      <alignment/>
    </xf>
    <xf numFmtId="0" fontId="15" fillId="0" borderId="12" xfId="0" applyFont="1" applyBorder="1" applyAlignment="1">
      <alignment/>
    </xf>
    <xf numFmtId="180" fontId="15" fillId="0" borderId="38" xfId="44" applyNumberFormat="1" applyFont="1" applyBorder="1" applyAlignment="1">
      <alignment/>
    </xf>
    <xf numFmtId="168" fontId="8" fillId="0" borderId="0" xfId="42" applyNumberFormat="1" applyFont="1" applyBorder="1" applyAlignment="1" applyProtection="1">
      <alignment horizontal="left"/>
      <protection/>
    </xf>
    <xf numFmtId="37" fontId="14" fillId="0" borderId="10" xfId="0" applyNumberFormat="1" applyFont="1" applyBorder="1" applyAlignment="1" applyProtection="1">
      <alignment horizontal="left"/>
      <protection/>
    </xf>
    <xf numFmtId="49" fontId="15" fillId="0" borderId="0" xfId="0" applyNumberFormat="1" applyFont="1" applyAlignment="1">
      <alignment horizontal="left"/>
    </xf>
    <xf numFmtId="49" fontId="15" fillId="0" borderId="11" xfId="0" applyNumberFormat="1" applyFont="1" applyBorder="1" applyAlignment="1">
      <alignment horizontal="left"/>
    </xf>
    <xf numFmtId="0" fontId="15" fillId="0" borderId="21" xfId="0" applyFont="1" applyBorder="1" applyAlignment="1">
      <alignment/>
    </xf>
    <xf numFmtId="0" fontId="13" fillId="0" borderId="0" xfId="0" applyFont="1" applyAlignment="1">
      <alignment horizontal="right"/>
    </xf>
    <xf numFmtId="41" fontId="15" fillId="0"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37" fontId="14" fillId="0" borderId="0" xfId="0" applyNumberFormat="1" applyFont="1" applyFill="1" applyBorder="1" applyAlignment="1" applyProtection="1">
      <alignment horizontal="left"/>
      <protection/>
    </xf>
    <xf numFmtId="41" fontId="15" fillId="0" borderId="11" xfId="0" applyNumberFormat="1" applyFont="1" applyBorder="1" applyAlignment="1" applyProtection="1">
      <alignment/>
      <protection/>
    </xf>
    <xf numFmtId="37" fontId="0" fillId="0" borderId="0" xfId="0" applyNumberFormat="1" applyFont="1" applyFill="1" applyBorder="1" applyAlignment="1" applyProtection="1">
      <alignment horizontal="left"/>
      <protection/>
    </xf>
    <xf numFmtId="37" fontId="15" fillId="0" borderId="0" xfId="0" applyNumberFormat="1" applyFont="1" applyFill="1" applyBorder="1" applyAlignment="1" applyProtection="1">
      <alignment horizontal="left"/>
      <protection/>
    </xf>
    <xf numFmtId="37" fontId="15" fillId="0" borderId="11" xfId="0" applyNumberFormat="1" applyFont="1" applyFill="1" applyBorder="1" applyAlignment="1" applyProtection="1">
      <alignment horizontal="left"/>
      <protection/>
    </xf>
    <xf numFmtId="0" fontId="68" fillId="0" borderId="0" xfId="0" applyFont="1" applyFill="1" applyAlignment="1">
      <alignment horizontal="right"/>
    </xf>
    <xf numFmtId="37" fontId="50" fillId="0" borderId="17" xfId="0" applyNumberFormat="1" applyFont="1" applyFill="1" applyBorder="1" applyAlignment="1" applyProtection="1">
      <alignment/>
      <protection/>
    </xf>
    <xf numFmtId="41" fontId="50" fillId="0" borderId="0" xfId="0" applyNumberFormat="1" applyFont="1" applyBorder="1" applyAlignment="1">
      <alignment/>
    </xf>
    <xf numFmtId="168" fontId="15" fillId="0" borderId="12" xfId="42" applyNumberFormat="1" applyFont="1" applyBorder="1" applyAlignment="1">
      <alignment/>
    </xf>
    <xf numFmtId="168" fontId="0" fillId="0" borderId="0" xfId="42" applyNumberFormat="1" applyFont="1" applyFill="1" applyBorder="1" applyAlignment="1" applyProtection="1">
      <alignment horizontal="center"/>
      <protection/>
    </xf>
    <xf numFmtId="164" fontId="15" fillId="0" borderId="0" xfId="0" applyNumberFormat="1" applyFont="1" applyAlignment="1" applyProtection="1">
      <alignment horizontal="left"/>
      <protection/>
    </xf>
    <xf numFmtId="37" fontId="50" fillId="0" borderId="0" xfId="0" applyNumberFormat="1" applyFont="1" applyAlignment="1">
      <alignment/>
    </xf>
    <xf numFmtId="37" fontId="50" fillId="0" borderId="13" xfId="0" applyNumberFormat="1" applyFont="1" applyBorder="1" applyAlignment="1">
      <alignment/>
    </xf>
    <xf numFmtId="37" fontId="50" fillId="0" borderId="14" xfId="0" applyNumberFormat="1" applyFont="1" applyBorder="1" applyAlignment="1">
      <alignment/>
    </xf>
    <xf numFmtId="37" fontId="50" fillId="0" borderId="15" xfId="0" applyNumberFormat="1" applyFont="1" applyBorder="1" applyAlignment="1">
      <alignment/>
    </xf>
    <xf numFmtId="168" fontId="15" fillId="0" borderId="18" xfId="42" applyNumberFormat="1" applyFont="1" applyBorder="1" applyAlignment="1">
      <alignment/>
    </xf>
    <xf numFmtId="168" fontId="15" fillId="0" borderId="11" xfId="42" applyNumberFormat="1" applyFont="1" applyBorder="1" applyAlignment="1">
      <alignment/>
    </xf>
    <xf numFmtId="9" fontId="50" fillId="0" borderId="0" xfId="60" applyFont="1" applyAlignment="1">
      <alignment horizontal="center"/>
    </xf>
    <xf numFmtId="9" fontId="50" fillId="0" borderId="0" xfId="60" applyFont="1" applyBorder="1" applyAlignment="1">
      <alignment/>
    </xf>
    <xf numFmtId="168" fontId="14" fillId="0" borderId="0" xfId="42" applyNumberFormat="1" applyFont="1" applyAlignment="1">
      <alignment/>
    </xf>
    <xf numFmtId="168" fontId="13" fillId="0" borderId="0" xfId="42" applyNumberFormat="1" applyFont="1" applyAlignment="1">
      <alignment/>
    </xf>
    <xf numFmtId="37" fontId="0" fillId="0" borderId="11" xfId="0" applyNumberFormat="1" applyBorder="1" applyAlignment="1">
      <alignment/>
    </xf>
    <xf numFmtId="43" fontId="0" fillId="0" borderId="18" xfId="42" applyFont="1" applyBorder="1" applyAlignment="1">
      <alignment/>
    </xf>
    <xf numFmtId="43" fontId="0" fillId="0" borderId="11" xfId="42" applyFont="1" applyBorder="1" applyAlignment="1">
      <alignment/>
    </xf>
    <xf numFmtId="43" fontId="0" fillId="0" borderId="12" xfId="42" applyFont="1" applyBorder="1" applyAlignment="1">
      <alignment/>
    </xf>
    <xf numFmtId="168" fontId="0" fillId="0" borderId="21" xfId="42" applyNumberFormat="1" applyFont="1" applyBorder="1" applyAlignment="1">
      <alignment/>
    </xf>
    <xf numFmtId="37" fontId="8" fillId="0" borderId="0" xfId="0" applyNumberFormat="1" applyFont="1" applyBorder="1" applyAlignment="1" applyProtection="1">
      <alignment horizontal="left"/>
      <protection/>
    </xf>
    <xf numFmtId="0" fontId="17" fillId="0" borderId="0" xfId="0" applyFont="1" applyBorder="1" applyAlignment="1">
      <alignment horizontal="center"/>
    </xf>
    <xf numFmtId="173" fontId="15" fillId="0" borderId="0" xfId="60" applyNumberFormat="1" applyFont="1" applyAlignment="1">
      <alignment/>
    </xf>
    <xf numFmtId="37" fontId="50" fillId="0" borderId="0" xfId="0" applyNumberFormat="1" applyFont="1" applyFill="1" applyBorder="1" applyAlignment="1" applyProtection="1">
      <alignment/>
      <protection/>
    </xf>
    <xf numFmtId="168" fontId="50" fillId="0" borderId="14" xfId="42" applyNumberFormat="1" applyFont="1" applyBorder="1" applyAlignment="1">
      <alignment/>
    </xf>
    <xf numFmtId="41" fontId="50" fillId="0" borderId="18" xfId="0" applyNumberFormat="1" applyFont="1" applyBorder="1" applyAlignment="1">
      <alignment/>
    </xf>
    <xf numFmtId="41" fontId="50" fillId="0" borderId="11" xfId="0" applyNumberFormat="1" applyFont="1" applyBorder="1" applyAlignment="1">
      <alignment/>
    </xf>
    <xf numFmtId="41" fontId="50" fillId="0" borderId="12" xfId="0" applyNumberFormat="1" applyFont="1" applyBorder="1" applyAlignment="1">
      <alignment/>
    </xf>
    <xf numFmtId="37" fontId="50" fillId="0" borderId="18" xfId="0" applyNumberFormat="1" applyFont="1" applyBorder="1" applyAlignment="1" applyProtection="1">
      <alignment/>
      <protection/>
    </xf>
    <xf numFmtId="168" fontId="0" fillId="0" borderId="18" xfId="0" applyNumberFormat="1" applyFont="1" applyBorder="1" applyAlignment="1">
      <alignment/>
    </xf>
    <xf numFmtId="167" fontId="0" fillId="0" borderId="18" xfId="42" applyNumberFormat="1" applyFont="1" applyFill="1" applyBorder="1" applyAlignment="1" applyProtection="1">
      <alignment/>
      <protection/>
    </xf>
    <xf numFmtId="167" fontId="0" fillId="0" borderId="11" xfId="42" applyNumberFormat="1" applyFont="1" applyFill="1" applyBorder="1" applyAlignment="1" applyProtection="1">
      <alignment/>
      <protection/>
    </xf>
    <xf numFmtId="167" fontId="0" fillId="0" borderId="12" xfId="42" applyNumberFormat="1" applyFont="1" applyFill="1" applyBorder="1" applyAlignment="1" applyProtection="1">
      <alignment/>
      <protection/>
    </xf>
    <xf numFmtId="168" fontId="15" fillId="0" borderId="39" xfId="42" applyNumberFormat="1" applyFont="1" applyFill="1" applyBorder="1" applyAlignment="1" applyProtection="1">
      <alignment/>
      <protection/>
    </xf>
    <xf numFmtId="168" fontId="0" fillId="0" borderId="20" xfId="42" applyNumberFormat="1" applyFont="1" applyBorder="1" applyAlignment="1" applyProtection="1">
      <alignment/>
      <protection/>
    </xf>
    <xf numFmtId="168" fontId="0" fillId="0" borderId="18" xfId="42" applyNumberFormat="1" applyFont="1" applyBorder="1" applyAlignment="1" applyProtection="1">
      <alignment/>
      <protection/>
    </xf>
    <xf numFmtId="49" fontId="15" fillId="0" borderId="21" xfId="0" applyNumberFormat="1" applyFont="1" applyBorder="1" applyAlignment="1">
      <alignment horizontal="left"/>
    </xf>
    <xf numFmtId="167" fontId="0" fillId="0" borderId="20" xfId="42" applyNumberFormat="1" applyFont="1" applyBorder="1" applyAlignment="1" applyProtection="1">
      <alignment/>
      <protection/>
    </xf>
    <xf numFmtId="167" fontId="0" fillId="0" borderId="0" xfId="42" applyNumberFormat="1" applyFont="1" applyFill="1" applyBorder="1" applyAlignment="1" applyProtection="1">
      <alignment/>
      <protection/>
    </xf>
    <xf numFmtId="167" fontId="0" fillId="0" borderId="16" xfId="42" applyNumberFormat="1" applyFont="1" applyBorder="1" applyAlignment="1" applyProtection="1">
      <alignment/>
      <protection/>
    </xf>
    <xf numFmtId="164" fontId="13" fillId="0" borderId="0" xfId="0" applyNumberFormat="1" applyFont="1" applyAlignment="1">
      <alignment/>
    </xf>
    <xf numFmtId="9" fontId="40" fillId="0" borderId="11" xfId="60" applyFont="1" applyBorder="1" applyAlignment="1">
      <alignment/>
    </xf>
    <xf numFmtId="9" fontId="71" fillId="0" borderId="11" xfId="60" applyFont="1" applyBorder="1" applyAlignment="1">
      <alignment/>
    </xf>
    <xf numFmtId="9" fontId="72" fillId="0" borderId="0" xfId="60" applyFont="1" applyAlignment="1">
      <alignment/>
    </xf>
    <xf numFmtId="9" fontId="71" fillId="0" borderId="0" xfId="60" applyFont="1" applyAlignment="1">
      <alignment/>
    </xf>
    <xf numFmtId="168" fontId="73" fillId="0" borderId="0" xfId="42" applyNumberFormat="1" applyFont="1" applyBorder="1" applyAlignment="1">
      <alignment/>
    </xf>
    <xf numFmtId="9" fontId="40" fillId="0" borderId="0" xfId="60" applyFont="1" applyBorder="1" applyAlignment="1">
      <alignment/>
    </xf>
    <xf numFmtId="9" fontId="71" fillId="0" borderId="0" xfId="60" applyFont="1" applyBorder="1" applyAlignment="1">
      <alignment/>
    </xf>
    <xf numFmtId="0" fontId="8" fillId="0" borderId="0" xfId="0" applyFont="1" applyBorder="1" applyAlignment="1">
      <alignment/>
    </xf>
    <xf numFmtId="0" fontId="76" fillId="0" borderId="0" xfId="0" applyFont="1" applyAlignment="1">
      <alignment horizontal="centerContinuous"/>
    </xf>
    <xf numFmtId="168" fontId="0" fillId="0" borderId="20" xfId="0" applyNumberFormat="1" applyFont="1" applyBorder="1" applyAlignment="1">
      <alignment/>
    </xf>
    <xf numFmtId="168" fontId="0" fillId="0" borderId="0" xfId="0" applyNumberFormat="1" applyFont="1" applyBorder="1" applyAlignment="1">
      <alignment/>
    </xf>
    <xf numFmtId="168" fontId="0" fillId="0" borderId="13" xfId="42" applyNumberFormat="1" applyFont="1" applyFill="1" applyBorder="1" applyAlignment="1" applyProtection="1">
      <alignment/>
      <protection/>
    </xf>
    <xf numFmtId="168" fontId="0" fillId="0" borderId="14" xfId="42" applyNumberFormat="1" applyFont="1" applyFill="1" applyBorder="1" applyAlignment="1" applyProtection="1">
      <alignment/>
      <protection/>
    </xf>
    <xf numFmtId="168" fontId="0" fillId="0" borderId="15" xfId="42" applyNumberFormat="1" applyFont="1" applyFill="1" applyBorder="1" applyAlignment="1" applyProtection="1">
      <alignment/>
      <protection/>
    </xf>
    <xf numFmtId="41" fontId="0" fillId="0" borderId="20" xfId="0" applyNumberFormat="1" applyFont="1" applyBorder="1" applyAlignment="1" applyProtection="1">
      <alignment/>
      <protection/>
    </xf>
    <xf numFmtId="41" fontId="0" fillId="0" borderId="18" xfId="0" applyNumberFormat="1" applyFont="1" applyBorder="1" applyAlignment="1" applyProtection="1">
      <alignment/>
      <protection/>
    </xf>
    <xf numFmtId="0" fontId="0" fillId="33" borderId="23" xfId="0" applyFill="1" applyBorder="1" applyAlignment="1">
      <alignment/>
    </xf>
    <xf numFmtId="41" fontId="0" fillId="0" borderId="17" xfId="0" applyNumberFormat="1" applyFont="1" applyBorder="1" applyAlignment="1" applyProtection="1">
      <alignment/>
      <protection/>
    </xf>
    <xf numFmtId="164" fontId="17" fillId="0" borderId="21" xfId="0" applyNumberFormat="1" applyFont="1" applyBorder="1" applyAlignment="1">
      <alignment horizontal="center"/>
    </xf>
    <xf numFmtId="164" fontId="17" fillId="0" borderId="12" xfId="0" applyNumberFormat="1" applyFont="1" applyBorder="1" applyAlignment="1">
      <alignment horizontal="center"/>
    </xf>
    <xf numFmtId="182" fontId="39" fillId="0" borderId="31" xfId="44" applyNumberFormat="1" applyFont="1" applyFill="1" applyBorder="1" applyAlignment="1" applyProtection="1">
      <alignment/>
      <protection/>
    </xf>
    <xf numFmtId="168" fontId="21" fillId="0" borderId="11" xfId="42" applyNumberFormat="1" applyFont="1" applyFill="1" applyBorder="1" applyAlignment="1" applyProtection="1">
      <alignment/>
      <protection/>
    </xf>
    <xf numFmtId="0" fontId="14" fillId="0" borderId="39" xfId="0" applyNumberFormat="1" applyFont="1" applyFill="1" applyBorder="1" applyAlignment="1" applyProtection="1">
      <alignment horizontal="center"/>
      <protection/>
    </xf>
    <xf numFmtId="0" fontId="14" fillId="0" borderId="11" xfId="0" applyNumberFormat="1" applyFont="1" applyFill="1" applyBorder="1" applyAlignment="1" applyProtection="1">
      <alignment horizontal="center"/>
      <protection/>
    </xf>
    <xf numFmtId="37" fontId="50" fillId="0" borderId="20" xfId="0" applyNumberFormat="1" applyFont="1" applyBorder="1" applyAlignment="1" applyProtection="1">
      <alignment/>
      <protection/>
    </xf>
    <xf numFmtId="37" fontId="15" fillId="0" borderId="11" xfId="0" applyNumberFormat="1" applyFont="1" applyFill="1" applyBorder="1" applyAlignment="1" applyProtection="1">
      <alignment/>
      <protection/>
    </xf>
    <xf numFmtId="37" fontId="50" fillId="0" borderId="13" xfId="0" applyNumberFormat="1" applyFont="1" applyFill="1" applyBorder="1" applyAlignment="1" applyProtection="1">
      <alignment/>
      <protection/>
    </xf>
    <xf numFmtId="37" fontId="50" fillId="0" borderId="14" xfId="0" applyNumberFormat="1" applyFont="1" applyFill="1" applyBorder="1" applyAlignment="1" applyProtection="1">
      <alignment/>
      <protection/>
    </xf>
    <xf numFmtId="37" fontId="50" fillId="0" borderId="15" xfId="0" applyNumberFormat="1" applyFont="1" applyFill="1" applyBorder="1" applyAlignment="1" applyProtection="1">
      <alignment/>
      <protection/>
    </xf>
    <xf numFmtId="37" fontId="8" fillId="0" borderId="11" xfId="0" applyNumberFormat="1" applyFont="1" applyBorder="1" applyAlignment="1" applyProtection="1">
      <alignment horizontal="left"/>
      <protection/>
    </xf>
    <xf numFmtId="44" fontId="0" fillId="0" borderId="21" xfId="44" applyNumberFormat="1" applyFont="1" applyBorder="1" applyAlignment="1">
      <alignment/>
    </xf>
    <xf numFmtId="44" fontId="15" fillId="0" borderId="0" xfId="44" applyNumberFormat="1" applyFont="1" applyBorder="1" applyAlignment="1">
      <alignment/>
    </xf>
    <xf numFmtId="44" fontId="0" fillId="0" borderId="0" xfId="44" applyNumberFormat="1" applyFont="1" applyBorder="1" applyAlignment="1">
      <alignment/>
    </xf>
    <xf numFmtId="0" fontId="17" fillId="0" borderId="0" xfId="0" applyFont="1" applyFill="1" applyBorder="1" applyAlignment="1">
      <alignment horizontal="center"/>
    </xf>
    <xf numFmtId="37" fontId="14" fillId="0" borderId="0" xfId="0" applyNumberFormat="1" applyFont="1" applyBorder="1" applyAlignment="1" applyProtection="1">
      <alignment horizontal="left"/>
      <protection/>
    </xf>
    <xf numFmtId="164" fontId="0" fillId="0" borderId="0" xfId="0" applyNumberFormat="1" applyFont="1" applyBorder="1" applyAlignment="1" applyProtection="1">
      <alignment horizontal="center"/>
      <protection/>
    </xf>
    <xf numFmtId="0" fontId="14" fillId="0" borderId="0" xfId="0" applyNumberFormat="1" applyFont="1" applyBorder="1" applyAlignment="1" applyProtection="1">
      <alignment horizontal="center"/>
      <protection/>
    </xf>
    <xf numFmtId="0" fontId="14" fillId="0" borderId="0" xfId="0" applyNumberFormat="1" applyFont="1" applyBorder="1" applyAlignment="1" applyProtection="1">
      <alignment horizontal="center"/>
      <protection/>
    </xf>
    <xf numFmtId="166" fontId="14" fillId="0" borderId="0" xfId="0" applyNumberFormat="1" applyFont="1" applyBorder="1" applyAlignment="1" applyProtection="1">
      <alignment horizontal="center"/>
      <protection/>
    </xf>
    <xf numFmtId="168" fontId="17" fillId="0" borderId="11" xfId="42" applyNumberFormat="1" applyFont="1" applyBorder="1" applyAlignment="1">
      <alignment horizontal="center"/>
    </xf>
    <xf numFmtId="0" fontId="8" fillId="0" borderId="0" xfId="0" applyFont="1" applyAlignment="1">
      <alignment/>
    </xf>
    <xf numFmtId="164" fontId="19" fillId="0" borderId="0" xfId="0" applyNumberFormat="1" applyFont="1" applyBorder="1" applyAlignment="1" applyProtection="1">
      <alignment horizontal="left"/>
      <protection/>
    </xf>
    <xf numFmtId="164" fontId="67" fillId="0" borderId="0" xfId="0" applyNumberFormat="1" applyFont="1" applyBorder="1" applyAlignment="1" applyProtection="1">
      <alignment horizontal="left"/>
      <protection/>
    </xf>
    <xf numFmtId="164" fontId="15" fillId="0" borderId="0" xfId="0" applyNumberFormat="1" applyFont="1" applyBorder="1" applyAlignment="1" applyProtection="1">
      <alignment horizontal="left"/>
      <protection/>
    </xf>
    <xf numFmtId="0" fontId="15" fillId="0" borderId="0" xfId="0" applyFont="1" applyBorder="1" applyAlignment="1">
      <alignment/>
    </xf>
    <xf numFmtId="164" fontId="15" fillId="0" borderId="11" xfId="0" applyNumberFormat="1" applyFont="1" applyBorder="1" applyAlignment="1" applyProtection="1">
      <alignment horizontal="left"/>
      <protection/>
    </xf>
    <xf numFmtId="164" fontId="14" fillId="0" borderId="0" xfId="0" applyNumberFormat="1" applyFont="1" applyAlignment="1">
      <alignment horizontal="center"/>
    </xf>
    <xf numFmtId="164" fontId="14" fillId="0" borderId="11" xfId="0" applyNumberFormat="1" applyFont="1" applyBorder="1" applyAlignment="1">
      <alignment horizontal="center"/>
    </xf>
    <xf numFmtId="0" fontId="14" fillId="0" borderId="21" xfId="0" applyFont="1" applyBorder="1" applyAlignment="1">
      <alignment horizontal="center"/>
    </xf>
    <xf numFmtId="0" fontId="14" fillId="0" borderId="12" xfId="0" applyFont="1" applyBorder="1" applyAlignment="1">
      <alignment horizontal="center"/>
    </xf>
    <xf numFmtId="168" fontId="10" fillId="0" borderId="0" xfId="42" applyNumberFormat="1" applyFont="1" applyBorder="1" applyAlignment="1" applyProtection="1">
      <alignment horizontal="left"/>
      <protection/>
    </xf>
    <xf numFmtId="168" fontId="0" fillId="0" borderId="40" xfId="42" applyNumberFormat="1" applyFont="1" applyBorder="1" applyAlignment="1">
      <alignment/>
    </xf>
    <xf numFmtId="0" fontId="0" fillId="0" borderId="40" xfId="0" applyFont="1" applyBorder="1" applyAlignment="1">
      <alignment/>
    </xf>
    <xf numFmtId="0" fontId="0" fillId="0" borderId="20" xfId="0" applyFont="1" applyBorder="1" applyAlignment="1" quotePrefix="1">
      <alignment/>
    </xf>
    <xf numFmtId="0" fontId="77" fillId="0" borderId="0" xfId="0" applyFont="1" applyAlignment="1">
      <alignment/>
    </xf>
    <xf numFmtId="0" fontId="25" fillId="34" borderId="10" xfId="0" applyFont="1" applyFill="1" applyBorder="1" applyAlignment="1">
      <alignment/>
    </xf>
    <xf numFmtId="0" fontId="60" fillId="34" borderId="10" xfId="0" applyFont="1" applyFill="1" applyBorder="1" applyAlignment="1">
      <alignment/>
    </xf>
    <xf numFmtId="0" fontId="78" fillId="0" borderId="0" xfId="0" applyFont="1" applyAlignment="1">
      <alignment/>
    </xf>
    <xf numFmtId="0" fontId="79" fillId="0" borderId="0" xfId="0" applyFont="1" applyAlignment="1">
      <alignment/>
    </xf>
    <xf numFmtId="168" fontId="0" fillId="0" borderId="41" xfId="42" applyNumberFormat="1" applyFont="1" applyBorder="1" applyAlignment="1">
      <alignment/>
    </xf>
    <xf numFmtId="168" fontId="0" fillId="0" borderId="42" xfId="42" applyNumberFormat="1" applyFont="1" applyBorder="1" applyAlignment="1">
      <alignment/>
    </xf>
    <xf numFmtId="168" fontId="0" fillId="0" borderId="43" xfId="42" applyNumberFormat="1" applyFont="1" applyBorder="1" applyAlignment="1">
      <alignment/>
    </xf>
    <xf numFmtId="43" fontId="15" fillId="0" borderId="21" xfId="42" applyFont="1" applyBorder="1" applyAlignment="1">
      <alignment/>
    </xf>
    <xf numFmtId="0" fontId="6" fillId="0" borderId="0" xfId="0" applyFont="1" applyAlignment="1">
      <alignment horizontal="left"/>
    </xf>
    <xf numFmtId="0" fontId="81" fillId="0" borderId="0" xfId="0" applyFont="1" applyBorder="1" applyAlignment="1">
      <alignment horizontal="right"/>
    </xf>
    <xf numFmtId="0" fontId="82" fillId="0" borderId="0" xfId="0" applyFont="1" applyFill="1" applyBorder="1" applyAlignment="1">
      <alignment horizontal="center"/>
    </xf>
    <xf numFmtId="0" fontId="16" fillId="0" borderId="0" xfId="0" applyFont="1" applyFill="1" applyBorder="1" applyAlignment="1">
      <alignment horizontal="center"/>
    </xf>
    <xf numFmtId="0" fontId="82" fillId="0" borderId="10" xfId="0" applyFont="1" applyFill="1" applyBorder="1" applyAlignment="1">
      <alignment horizontal="center"/>
    </xf>
    <xf numFmtId="0" fontId="83" fillId="36" borderId="0" xfId="0" applyFont="1" applyFill="1" applyAlignment="1">
      <alignment/>
    </xf>
    <xf numFmtId="0" fontId="66" fillId="36" borderId="0" xfId="0" applyFont="1" applyFill="1" applyAlignment="1">
      <alignment/>
    </xf>
    <xf numFmtId="168" fontId="66" fillId="36" borderId="0" xfId="42" applyNumberFormat="1" applyFont="1" applyFill="1" applyAlignment="1">
      <alignment horizontal="center"/>
    </xf>
    <xf numFmtId="9" fontId="66" fillId="36" borderId="0" xfId="60" applyFont="1" applyFill="1" applyAlignment="1">
      <alignment/>
    </xf>
    <xf numFmtId="0" fontId="66" fillId="36" borderId="0" xfId="0" applyFont="1" applyFill="1" applyAlignment="1">
      <alignment/>
    </xf>
    <xf numFmtId="0" fontId="66" fillId="36" borderId="20" xfId="0" applyFont="1" applyFill="1" applyBorder="1" applyAlignment="1">
      <alignment/>
    </xf>
    <xf numFmtId="173" fontId="16" fillId="0" borderId="0" xfId="60" applyNumberFormat="1" applyFont="1" applyFill="1" applyBorder="1" applyAlignment="1">
      <alignment/>
    </xf>
    <xf numFmtId="168" fontId="84" fillId="0" borderId="0" xfId="42" applyNumberFormat="1" applyFont="1" applyBorder="1" applyAlignment="1">
      <alignment/>
    </xf>
    <xf numFmtId="168" fontId="84" fillId="0" borderId="0" xfId="42" applyNumberFormat="1" applyFont="1" applyAlignment="1">
      <alignment/>
    </xf>
    <xf numFmtId="0" fontId="5" fillId="0" borderId="20" xfId="0" applyFont="1" applyBorder="1" applyAlignment="1">
      <alignment/>
    </xf>
    <xf numFmtId="168" fontId="0" fillId="0" borderId="20" xfId="0" applyNumberFormat="1" applyFont="1" applyBorder="1" applyAlignment="1">
      <alignment horizontal="right"/>
    </xf>
    <xf numFmtId="0" fontId="0" fillId="0" borderId="20" xfId="0" applyFont="1" applyBorder="1" applyAlignment="1">
      <alignment horizontal="right"/>
    </xf>
    <xf numFmtId="9" fontId="0" fillId="0" borderId="0" xfId="60" applyFont="1" applyAlignment="1">
      <alignment horizontal="right"/>
    </xf>
    <xf numFmtId="6" fontId="0" fillId="0" borderId="0" xfId="0" applyNumberFormat="1" applyFont="1" applyAlignment="1">
      <alignment/>
    </xf>
    <xf numFmtId="182" fontId="0" fillId="0" borderId="0" xfId="44" applyNumberFormat="1" applyFont="1" applyBorder="1" applyAlignment="1">
      <alignment/>
    </xf>
    <xf numFmtId="203" fontId="0" fillId="0" borderId="0" xfId="0" applyNumberFormat="1" applyFont="1" applyAlignment="1">
      <alignment/>
    </xf>
    <xf numFmtId="173" fontId="16" fillId="0" borderId="11" xfId="60" applyNumberFormat="1" applyFont="1" applyFill="1" applyBorder="1" applyAlignment="1">
      <alignment/>
    </xf>
    <xf numFmtId="168" fontId="84" fillId="0" borderId="11" xfId="42" applyNumberFormat="1" applyFont="1" applyBorder="1" applyAlignment="1">
      <alignment/>
    </xf>
    <xf numFmtId="182" fontId="0" fillId="0" borderId="12" xfId="44" applyNumberFormat="1" applyFont="1" applyBorder="1" applyAlignment="1">
      <alignment/>
    </xf>
    <xf numFmtId="9" fontId="16" fillId="0" borderId="0" xfId="60" applyFont="1" applyAlignment="1">
      <alignment/>
    </xf>
    <xf numFmtId="180" fontId="15" fillId="0" borderId="0" xfId="44" applyNumberFormat="1" applyFont="1" applyBorder="1" applyAlignment="1">
      <alignment/>
    </xf>
    <xf numFmtId="0" fontId="7" fillId="0" borderId="0" xfId="0" applyFont="1" applyAlignment="1">
      <alignment/>
    </xf>
    <xf numFmtId="0" fontId="7" fillId="0" borderId="0" xfId="0" applyFont="1" applyAlignment="1">
      <alignment/>
    </xf>
    <xf numFmtId="168" fontId="8" fillId="0" borderId="0" xfId="42" applyNumberFormat="1" applyFont="1" applyBorder="1" applyAlignment="1">
      <alignment horizontal="right"/>
    </xf>
    <xf numFmtId="0" fontId="56" fillId="0" borderId="0" xfId="0" applyFont="1" applyAlignment="1">
      <alignment horizontal="right"/>
    </xf>
    <xf numFmtId="168" fontId="87" fillId="0" borderId="0" xfId="42" applyNumberFormat="1" applyFont="1" applyBorder="1" applyAlignment="1">
      <alignment horizontal="left"/>
    </xf>
    <xf numFmtId="168" fontId="56" fillId="0" borderId="0" xfId="42" applyNumberFormat="1" applyFont="1" applyFill="1" applyBorder="1" applyAlignment="1">
      <alignment horizontal="right"/>
    </xf>
    <xf numFmtId="168" fontId="88" fillId="0" borderId="13" xfId="42" applyNumberFormat="1" applyFont="1" applyBorder="1" applyAlignment="1">
      <alignment horizontal="right"/>
    </xf>
    <xf numFmtId="168" fontId="89" fillId="0" borderId="15" xfId="42" applyNumberFormat="1" applyFont="1" applyBorder="1" applyAlignment="1">
      <alignment/>
    </xf>
    <xf numFmtId="168" fontId="5" fillId="0" borderId="0" xfId="0" applyNumberFormat="1" applyFont="1" applyAlignment="1">
      <alignment/>
    </xf>
    <xf numFmtId="43" fontId="0" fillId="0" borderId="0" xfId="42" applyNumberFormat="1" applyFont="1" applyBorder="1" applyAlignment="1">
      <alignment/>
    </xf>
    <xf numFmtId="0" fontId="10" fillId="0" borderId="0" xfId="0" applyFont="1" applyAlignment="1">
      <alignment/>
    </xf>
    <xf numFmtId="168" fontId="25" fillId="33" borderId="0" xfId="42" applyNumberFormat="1" applyFont="1" applyFill="1" applyBorder="1" applyAlignment="1">
      <alignment/>
    </xf>
    <xf numFmtId="168" fontId="90" fillId="33" borderId="0" xfId="42" applyNumberFormat="1" applyFont="1" applyFill="1" applyBorder="1" applyAlignment="1">
      <alignment/>
    </xf>
    <xf numFmtId="0" fontId="90" fillId="33" borderId="0" xfId="0" applyFont="1" applyFill="1" applyAlignment="1">
      <alignment/>
    </xf>
    <xf numFmtId="0" fontId="60" fillId="33" borderId="0" xfId="0" applyFont="1" applyFill="1" applyAlignment="1">
      <alignment/>
    </xf>
    <xf numFmtId="168" fontId="13" fillId="0" borderId="11" xfId="42" applyNumberFormat="1" applyFont="1" applyBorder="1" applyAlignment="1">
      <alignment/>
    </xf>
    <xf numFmtId="0" fontId="13" fillId="0" borderId="11" xfId="0" applyFont="1" applyBorder="1" applyAlignment="1">
      <alignment/>
    </xf>
    <xf numFmtId="0" fontId="7" fillId="0" borderId="11" xfId="0" applyFont="1" applyBorder="1" applyAlignment="1">
      <alignment/>
    </xf>
    <xf numFmtId="0" fontId="10" fillId="0" borderId="11" xfId="0" applyFont="1" applyBorder="1" applyAlignment="1">
      <alignment/>
    </xf>
    <xf numFmtId="168" fontId="10" fillId="0" borderId="0" xfId="42" applyNumberFormat="1" applyFont="1" applyBorder="1" applyAlignment="1">
      <alignment/>
    </xf>
    <xf numFmtId="168" fontId="10" fillId="0" borderId="0" xfId="42" applyNumberFormat="1" applyFont="1" applyFill="1" applyBorder="1" applyAlignment="1">
      <alignment/>
    </xf>
    <xf numFmtId="203" fontId="0" fillId="0" borderId="0" xfId="0" applyNumberFormat="1" applyFont="1" applyAlignment="1">
      <alignment horizontal="center"/>
    </xf>
    <xf numFmtId="9" fontId="0" fillId="0" borderId="14" xfId="60" applyFont="1" applyBorder="1" applyAlignment="1">
      <alignment/>
    </xf>
    <xf numFmtId="173" fontId="0" fillId="0" borderId="0" xfId="60" applyNumberFormat="1" applyFont="1" applyAlignment="1">
      <alignment/>
    </xf>
    <xf numFmtId="168" fontId="88" fillId="0" borderId="31" xfId="42" applyNumberFormat="1" applyFont="1" applyBorder="1" applyAlignment="1">
      <alignment/>
    </xf>
    <xf numFmtId="0" fontId="14" fillId="0" borderId="20" xfId="0" applyFont="1" applyBorder="1" applyAlignment="1">
      <alignment/>
    </xf>
    <xf numFmtId="203" fontId="0" fillId="0" borderId="11" xfId="0" applyNumberFormat="1" applyFont="1" applyBorder="1" applyAlignment="1">
      <alignment/>
    </xf>
    <xf numFmtId="167" fontId="15" fillId="0" borderId="17" xfId="42" applyNumberFormat="1" applyFont="1" applyFill="1" applyBorder="1" applyAlignment="1" applyProtection="1">
      <alignment/>
      <protection/>
    </xf>
    <xf numFmtId="167" fontId="15" fillId="0" borderId="16" xfId="42" applyNumberFormat="1" applyFont="1" applyFill="1" applyBorder="1" applyAlignment="1" applyProtection="1">
      <alignment/>
      <protection/>
    </xf>
    <xf numFmtId="167" fontId="15" fillId="0" borderId="19" xfId="42" applyNumberFormat="1" applyFont="1" applyFill="1" applyBorder="1" applyAlignment="1" applyProtection="1">
      <alignment/>
      <protection/>
    </xf>
    <xf numFmtId="184" fontId="14" fillId="0" borderId="0" xfId="42" applyNumberFormat="1" applyFont="1" applyAlignment="1">
      <alignment horizontal="left"/>
    </xf>
    <xf numFmtId="173" fontId="15" fillId="0" borderId="0" xfId="60" applyNumberFormat="1" applyFont="1" applyBorder="1" applyAlignment="1">
      <alignment/>
    </xf>
    <xf numFmtId="10" fontId="0" fillId="0" borderId="0" xfId="60" applyNumberFormat="1" applyFont="1" applyBorder="1" applyAlignment="1">
      <alignment/>
    </xf>
    <xf numFmtId="182" fontId="15" fillId="0" borderId="0" xfId="44" applyNumberFormat="1" applyFont="1" applyAlignment="1">
      <alignment/>
    </xf>
    <xf numFmtId="182" fontId="0" fillId="0" borderId="0" xfId="44" applyNumberFormat="1" applyFont="1" applyAlignment="1">
      <alignment/>
    </xf>
    <xf numFmtId="37" fontId="8" fillId="0" borderId="10" xfId="0" applyNumberFormat="1" applyFont="1" applyBorder="1" applyAlignment="1" applyProtection="1">
      <alignment horizontal="left"/>
      <protection/>
    </xf>
    <xf numFmtId="0" fontId="0" fillId="0" borderId="0" xfId="0" applyFont="1" applyAlignment="1">
      <alignment horizontal="center"/>
    </xf>
    <xf numFmtId="3" fontId="14" fillId="0" borderId="0" xfId="0" applyNumberFormat="1" applyFont="1" applyBorder="1" applyAlignment="1" applyProtection="1">
      <alignment/>
      <protection/>
    </xf>
    <xf numFmtId="1" fontId="17" fillId="0" borderId="27" xfId="0" applyNumberFormat="1" applyFont="1" applyFill="1" applyBorder="1" applyAlignment="1">
      <alignment horizontal="center"/>
    </xf>
    <xf numFmtId="0" fontId="92" fillId="0" borderId="0" xfId="0" applyFont="1" applyAlignment="1">
      <alignment/>
    </xf>
    <xf numFmtId="168" fontId="174" fillId="0" borderId="0" xfId="42" applyNumberFormat="1" applyFont="1" applyAlignment="1">
      <alignment/>
    </xf>
    <xf numFmtId="0" fontId="174" fillId="0" borderId="0" xfId="0" applyFont="1" applyAlignment="1">
      <alignment/>
    </xf>
    <xf numFmtId="168" fontId="174" fillId="0" borderId="0" xfId="42" applyNumberFormat="1" applyFont="1" applyBorder="1" applyAlignment="1">
      <alignment/>
    </xf>
    <xf numFmtId="168" fontId="174" fillId="0" borderId="11" xfId="42" applyNumberFormat="1" applyFont="1" applyBorder="1" applyAlignment="1">
      <alignment/>
    </xf>
    <xf numFmtId="0" fontId="175" fillId="0" borderId="0" xfId="0" applyFont="1" applyAlignment="1">
      <alignment horizontal="center"/>
    </xf>
    <xf numFmtId="168" fontId="14" fillId="0" borderId="0" xfId="42" applyNumberFormat="1" applyFont="1" applyAlignment="1">
      <alignment horizontal="center"/>
    </xf>
    <xf numFmtId="0" fontId="0" fillId="0" borderId="28" xfId="0" applyFont="1" applyBorder="1" applyAlignment="1">
      <alignment/>
    </xf>
    <xf numFmtId="0" fontId="0" fillId="0" borderId="44" xfId="0" applyFont="1" applyBorder="1" applyAlignment="1">
      <alignment/>
    </xf>
    <xf numFmtId="0" fontId="0" fillId="33" borderId="21" xfId="0" applyFont="1" applyFill="1" applyBorder="1" applyAlignment="1">
      <alignment/>
    </xf>
    <xf numFmtId="182" fontId="0" fillId="0" borderId="21" xfId="44" applyNumberFormat="1" applyFont="1" applyBorder="1" applyAlignment="1">
      <alignment/>
    </xf>
    <xf numFmtId="0" fontId="14" fillId="37" borderId="31" xfId="0" applyFont="1" applyFill="1" applyBorder="1" applyAlignment="1">
      <alignment horizontal="center"/>
    </xf>
    <xf numFmtId="0" fontId="14" fillId="38" borderId="10" xfId="0" applyNumberFormat="1" applyFont="1" applyFill="1" applyBorder="1" applyAlignment="1" applyProtection="1">
      <alignment horizontal="center"/>
      <protection/>
    </xf>
    <xf numFmtId="0" fontId="14" fillId="38" borderId="0" xfId="0" applyFont="1" applyFill="1" applyAlignment="1">
      <alignment horizontal="center"/>
    </xf>
    <xf numFmtId="182" fontId="0" fillId="0" borderId="14" xfId="44" applyNumberFormat="1" applyFont="1" applyBorder="1" applyAlignment="1" applyProtection="1">
      <alignment/>
      <protection/>
    </xf>
    <xf numFmtId="41" fontId="0" fillId="0" borderId="14" xfId="42" applyNumberFormat="1" applyFont="1" applyBorder="1" applyAlignment="1" applyProtection="1">
      <alignment/>
      <protection/>
    </xf>
    <xf numFmtId="41" fontId="0" fillId="0" borderId="15" xfId="42" applyNumberFormat="1" applyFont="1" applyBorder="1" applyAlignment="1" applyProtection="1">
      <alignment/>
      <protection/>
    </xf>
    <xf numFmtId="182" fontId="0" fillId="0" borderId="22" xfId="44" applyNumberFormat="1" applyFont="1" applyBorder="1" applyAlignment="1" applyProtection="1">
      <alignment/>
      <protection/>
    </xf>
    <xf numFmtId="41" fontId="0" fillId="0" borderId="34" xfId="0" applyNumberFormat="1" applyFont="1" applyBorder="1" applyAlignment="1" applyProtection="1">
      <alignment/>
      <protection/>
    </xf>
    <xf numFmtId="37" fontId="0" fillId="0" borderId="16" xfId="0" applyNumberFormat="1" applyFont="1" applyFill="1" applyBorder="1" applyAlignment="1" applyProtection="1">
      <alignment horizontal="left"/>
      <protection/>
    </xf>
    <xf numFmtId="43" fontId="50" fillId="0" borderId="0" xfId="42" applyFont="1" applyBorder="1" applyAlignment="1">
      <alignment/>
    </xf>
    <xf numFmtId="173" fontId="0" fillId="0" borderId="0" xfId="60" applyNumberFormat="1" applyFont="1" applyAlignment="1">
      <alignment/>
    </xf>
    <xf numFmtId="9" fontId="17" fillId="0" borderId="21" xfId="60" applyFont="1" applyFill="1" applyBorder="1" applyAlignment="1" applyProtection="1">
      <alignment horizontal="center"/>
      <protection/>
    </xf>
    <xf numFmtId="9" fontId="15" fillId="0" borderId="21" xfId="60" applyFont="1" applyFill="1" applyBorder="1" applyAlignment="1" applyProtection="1">
      <alignment horizontal="center"/>
      <protection/>
    </xf>
    <xf numFmtId="168" fontId="0" fillId="0" borderId="20" xfId="42" applyNumberFormat="1" applyFont="1" applyFill="1" applyBorder="1" applyAlignment="1" applyProtection="1">
      <alignment horizontal="center"/>
      <protection/>
    </xf>
    <xf numFmtId="168" fontId="0" fillId="0" borderId="21" xfId="42" applyNumberFormat="1" applyFont="1" applyFill="1" applyBorder="1" applyAlignment="1" applyProtection="1">
      <alignment horizontal="center"/>
      <protection/>
    </xf>
    <xf numFmtId="164" fontId="14" fillId="0" borderId="19" xfId="0" applyNumberFormat="1" applyFont="1" applyFill="1" applyBorder="1" applyAlignment="1" applyProtection="1">
      <alignment horizontal="center"/>
      <protection/>
    </xf>
    <xf numFmtId="168" fontId="0" fillId="0" borderId="14" xfId="42" applyNumberFormat="1" applyFont="1" applyFill="1" applyBorder="1" applyAlignment="1" applyProtection="1">
      <alignment horizontal="center"/>
      <protection/>
    </xf>
    <xf numFmtId="168" fontId="50" fillId="0" borderId="17" xfId="42" applyNumberFormat="1" applyFont="1" applyBorder="1" applyAlignment="1">
      <alignment/>
    </xf>
    <xf numFmtId="41" fontId="50" fillId="0" borderId="17" xfId="0" applyNumberFormat="1" applyFont="1" applyBorder="1" applyAlignment="1">
      <alignment/>
    </xf>
    <xf numFmtId="41" fontId="50" fillId="0" borderId="16" xfId="0" applyNumberFormat="1" applyFont="1" applyBorder="1" applyAlignment="1">
      <alignment/>
    </xf>
    <xf numFmtId="41" fontId="50" fillId="0" borderId="19" xfId="0" applyNumberFormat="1" applyFont="1" applyBorder="1" applyAlignment="1">
      <alignment/>
    </xf>
    <xf numFmtId="41" fontId="50" fillId="0" borderId="20" xfId="0" applyNumberFormat="1" applyFont="1" applyBorder="1" applyAlignment="1">
      <alignment/>
    </xf>
    <xf numFmtId="41" fontId="50" fillId="0" borderId="21" xfId="0" applyNumberFormat="1" applyFont="1" applyBorder="1" applyAlignment="1">
      <alignment/>
    </xf>
    <xf numFmtId="168" fontId="50" fillId="0" borderId="20" xfId="0" applyNumberFormat="1" applyFont="1" applyBorder="1" applyAlignment="1">
      <alignment/>
    </xf>
    <xf numFmtId="0" fontId="0" fillId="0" borderId="19" xfId="0" applyBorder="1" applyAlignment="1">
      <alignment/>
    </xf>
    <xf numFmtId="37" fontId="0" fillId="0" borderId="16" xfId="0" applyNumberFormat="1" applyBorder="1" applyAlignment="1">
      <alignment/>
    </xf>
    <xf numFmtId="0" fontId="0" fillId="33" borderId="20" xfId="0" applyFill="1" applyBorder="1" applyAlignment="1">
      <alignment/>
    </xf>
    <xf numFmtId="41" fontId="0" fillId="0" borderId="13" xfId="42" applyNumberFormat="1" applyFont="1" applyBorder="1" applyAlignment="1" applyProtection="1">
      <alignment/>
      <protection/>
    </xf>
    <xf numFmtId="164" fontId="18" fillId="0" borderId="13" xfId="0" applyNumberFormat="1" applyFont="1" applyBorder="1" applyAlignment="1" applyProtection="1">
      <alignment horizontal="left"/>
      <protection/>
    </xf>
    <xf numFmtId="164" fontId="18" fillId="0" borderId="22" xfId="0" applyNumberFormat="1" applyFont="1" applyBorder="1" applyAlignment="1" applyProtection="1">
      <alignment horizontal="left"/>
      <protection/>
    </xf>
    <xf numFmtId="0" fontId="14" fillId="0" borderId="0" xfId="0" applyFont="1" applyBorder="1" applyAlignment="1">
      <alignment horizontal="left"/>
    </xf>
    <xf numFmtId="0" fontId="94" fillId="0" borderId="0" xfId="53" applyFont="1" applyAlignment="1" applyProtection="1">
      <alignment/>
      <protection/>
    </xf>
    <xf numFmtId="164" fontId="15" fillId="0" borderId="0" xfId="0" applyNumberFormat="1" applyFont="1" applyAlignment="1" applyProtection="1">
      <alignment horizontal="center"/>
      <protection/>
    </xf>
    <xf numFmtId="0" fontId="15" fillId="0" borderId="0" xfId="0" applyNumberFormat="1" applyFont="1" applyAlignment="1" applyProtection="1">
      <alignment horizontal="center"/>
      <protection/>
    </xf>
    <xf numFmtId="0" fontId="176"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175" fillId="0" borderId="10" xfId="42" applyNumberFormat="1" applyFont="1" applyBorder="1" applyAlignment="1" applyProtection="1">
      <alignment horizontal="center"/>
      <protection/>
    </xf>
    <xf numFmtId="0" fontId="177" fillId="0" borderId="0" xfId="0" applyFont="1" applyAlignment="1">
      <alignment horizontal="right"/>
    </xf>
    <xf numFmtId="168" fontId="17" fillId="0" borderId="31" xfId="42" applyNumberFormat="1" applyFont="1" applyFill="1" applyBorder="1" applyAlignment="1">
      <alignment/>
    </xf>
    <xf numFmtId="168" fontId="17" fillId="0" borderId="27" xfId="42" applyNumberFormat="1" applyFont="1" applyFill="1" applyBorder="1" applyAlignment="1">
      <alignment horizontal="center"/>
    </xf>
    <xf numFmtId="0" fontId="74" fillId="0" borderId="0" xfId="0" applyFont="1" applyAlignment="1">
      <alignment horizontal="center"/>
    </xf>
    <xf numFmtId="0" fontId="80" fillId="0" borderId="0" xfId="0" applyFont="1" applyAlignment="1">
      <alignment horizontal="center"/>
    </xf>
    <xf numFmtId="0" fontId="10" fillId="0" borderId="0" xfId="0" applyFont="1" applyAlignment="1">
      <alignment/>
    </xf>
    <xf numFmtId="0" fontId="0" fillId="0" borderId="0" xfId="0" applyAlignment="1">
      <alignment wrapText="1"/>
    </xf>
    <xf numFmtId="0" fontId="75" fillId="0" borderId="0" xfId="0" applyFont="1" applyAlignment="1">
      <alignment horizontal="center"/>
    </xf>
    <xf numFmtId="0" fontId="69" fillId="0" borderId="0" xfId="0" applyFont="1" applyAlignment="1">
      <alignment horizontal="center"/>
    </xf>
    <xf numFmtId="0" fontId="70" fillId="0" borderId="0" xfId="0" applyFont="1" applyAlignment="1">
      <alignment horizontal="center"/>
    </xf>
    <xf numFmtId="0" fontId="0" fillId="0" borderId="0" xfId="0" applyFont="1" applyAlignment="1">
      <alignment horizontal="center"/>
    </xf>
    <xf numFmtId="0" fontId="59" fillId="0" borderId="0" xfId="0" applyFont="1" applyAlignment="1">
      <alignment horizontal="center"/>
    </xf>
    <xf numFmtId="165" fontId="59" fillId="0" borderId="0" xfId="0" applyNumberFormat="1" applyFont="1" applyAlignment="1">
      <alignment horizontal="center"/>
    </xf>
    <xf numFmtId="168" fontId="86" fillId="39" borderId="13" xfId="42" applyNumberFormat="1" applyFont="1" applyFill="1" applyBorder="1" applyAlignment="1">
      <alignment horizontal="center"/>
    </xf>
    <xf numFmtId="168" fontId="86" fillId="39" borderId="15" xfId="42" applyNumberFormat="1" applyFont="1" applyFill="1" applyBorder="1" applyAlignment="1">
      <alignment horizontal="center"/>
    </xf>
    <xf numFmtId="0" fontId="86" fillId="39" borderId="13" xfId="0" applyFont="1" applyFill="1" applyBorder="1" applyAlignment="1">
      <alignment horizontal="center"/>
    </xf>
    <xf numFmtId="0" fontId="86" fillId="39" borderId="15" xfId="0" applyFont="1" applyFill="1" applyBorder="1" applyAlignment="1">
      <alignment horizontal="center"/>
    </xf>
    <xf numFmtId="0" fontId="85" fillId="40" borderId="18" xfId="0" applyFont="1" applyFill="1" applyBorder="1" applyAlignment="1">
      <alignment horizontal="center"/>
    </xf>
    <xf numFmtId="0" fontId="85" fillId="40" borderId="12" xfId="0" applyFont="1" applyFill="1" applyBorder="1" applyAlignment="1">
      <alignment horizontal="center"/>
    </xf>
    <xf numFmtId="0" fontId="14" fillId="0" borderId="0" xfId="0" applyNumberFormat="1" applyFont="1" applyAlignment="1" applyProtection="1">
      <alignment horizontal="center"/>
      <protection/>
    </xf>
    <xf numFmtId="0" fontId="156" fillId="0" borderId="0" xfId="53"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latin typeface="Arial"/>
                <a:ea typeface="Arial"/>
                <a:cs typeface="Arial"/>
              </a:rPr>
              <a:t>Headcount Growth</a:t>
            </a:r>
          </a:p>
        </c:rich>
      </c:tx>
      <c:layout/>
      <c:spPr>
        <a:noFill/>
        <a:ln>
          <a:noFill/>
        </a:ln>
      </c:spPr>
    </c:title>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Headcount!#REF!</c:f>
              <c:strCache>
                <c:ptCount val="1"/>
                <c:pt idx="0">
                  <c:v>1</c:v>
                </c:pt>
              </c:strCache>
            </c:strRef>
          </c:cat>
          <c:val>
            <c:numRef>
              <c:f>Headcount!#REF!</c:f>
              <c:numCache>
                <c:ptCount val="1"/>
                <c:pt idx="0">
                  <c:v>1</c:v>
                </c:pt>
              </c:numCache>
            </c:numRef>
          </c:val>
          <c:smooth val="1"/>
        </c:ser>
        <c:marker val="1"/>
        <c:axId val="53872688"/>
        <c:axId val="15092145"/>
      </c:lineChart>
      <c:catAx>
        <c:axId val="53872688"/>
        <c:scaling>
          <c:orientation val="minMax"/>
        </c:scaling>
        <c:axPos val="b"/>
        <c:title>
          <c:tx>
            <c:rich>
              <a:bodyPr vert="horz" rot="0" anchor="ctr"/>
              <a:lstStyle/>
              <a:p>
                <a:pPr algn="ctr">
                  <a:defRPr/>
                </a:pPr>
                <a:r>
                  <a:rPr lang="en-US" cap="none" sz="2200" b="1" i="0" u="none" baseline="0">
                    <a:solidFill>
                      <a:srgbClr val="000000"/>
                    </a:solidFill>
                    <a:latin typeface="Arial"/>
                    <a:ea typeface="Arial"/>
                    <a:cs typeface="Arial"/>
                  </a:rPr>
                  <a:t>Months</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2000" b="1" i="0" u="none" baseline="0">
                <a:solidFill>
                  <a:srgbClr val="000000"/>
                </a:solidFill>
                <a:latin typeface="Arial"/>
                <a:ea typeface="Arial"/>
                <a:cs typeface="Arial"/>
              </a:defRPr>
            </a:pPr>
          </a:p>
        </c:txPr>
        <c:crossAx val="15092145"/>
        <c:crosses val="autoZero"/>
        <c:auto val="1"/>
        <c:lblOffset val="100"/>
        <c:tickLblSkip val="1"/>
        <c:noMultiLvlLbl val="0"/>
      </c:catAx>
      <c:valAx>
        <c:axId val="15092145"/>
        <c:scaling>
          <c:orientation val="minMax"/>
          <c:min val="0"/>
        </c:scaling>
        <c:axPos val="l"/>
        <c:title>
          <c:tx>
            <c:rich>
              <a:bodyPr vert="horz" rot="-5400000" anchor="ctr"/>
              <a:lstStyle/>
              <a:p>
                <a:pPr algn="ctr">
                  <a:defRPr/>
                </a:pPr>
                <a:r>
                  <a:rPr lang="en-US" cap="none" sz="2200" b="1" i="0" u="none" baseline="0">
                    <a:solidFill>
                      <a:srgbClr val="000000"/>
                    </a:solidFill>
                    <a:latin typeface="Arial"/>
                    <a:ea typeface="Arial"/>
                    <a:cs typeface="Arial"/>
                  </a:rPr>
                  <a:t>Headcount</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0" b="1" i="0" u="none" baseline="0">
                <a:solidFill>
                  <a:srgbClr val="000000"/>
                </a:solidFill>
                <a:latin typeface="Arial"/>
                <a:ea typeface="Arial"/>
                <a:cs typeface="Arial"/>
              </a:defRPr>
            </a:pPr>
          </a:p>
        </c:txPr>
        <c:crossAx val="53872688"/>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34867210"/>
        <c:axId val="45369435"/>
      </c:lineChart>
      <c:catAx>
        <c:axId val="34867210"/>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45369435"/>
        <c:crosses val="autoZero"/>
        <c:auto val="1"/>
        <c:lblOffset val="100"/>
        <c:tickLblSkip val="1"/>
        <c:noMultiLvlLbl val="0"/>
      </c:catAx>
      <c:valAx>
        <c:axId val="45369435"/>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34867210"/>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REMOTE OFFICE 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5671732"/>
        <c:axId val="51045589"/>
      </c:lineChart>
      <c:catAx>
        <c:axId val="5671732"/>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1045589"/>
        <c:crosses val="autoZero"/>
        <c:auto val="1"/>
        <c:lblOffset val="100"/>
        <c:tickLblSkip val="1"/>
        <c:noMultiLvlLbl val="0"/>
      </c:catAx>
      <c:valAx>
        <c:axId val="51045589"/>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671732"/>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50" b="1" i="0" u="none" baseline="0">
                <a:solidFill>
                  <a:srgbClr val="000000"/>
                </a:solidFill>
                <a:latin typeface="Arial"/>
                <a:ea typeface="Arial"/>
                <a:cs typeface="Arial"/>
              </a:rPr>
              <a:t>BURN RATE</a:t>
            </a:r>
          </a:p>
        </c:rich>
      </c:tx>
      <c:layout>
        <c:manualLayout>
          <c:xMode val="factor"/>
          <c:yMode val="factor"/>
          <c:x val="0.00275"/>
          <c:y val="0.00325"/>
        </c:manualLayout>
      </c:layout>
      <c:spPr>
        <a:noFill/>
        <a:ln>
          <a:noFill/>
        </a:ln>
      </c:spPr>
    </c:title>
    <c:plotArea>
      <c:layout>
        <c:manualLayout>
          <c:xMode val="edge"/>
          <c:yMode val="edge"/>
          <c:x val="0.10475"/>
          <c:y val="0.162"/>
          <c:w val="0.849"/>
          <c:h val="0.74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Financials!$C$184:$N$184</c:f>
              <c:strCache/>
            </c:strRef>
          </c:cat>
          <c:val>
            <c:numRef>
              <c:f>Financials!$C$189:$N$189</c:f>
              <c:numCache/>
            </c:numRef>
          </c:val>
        </c:ser>
        <c:axId val="56757118"/>
        <c:axId val="41052015"/>
      </c:barChart>
      <c:catAx>
        <c:axId val="56757118"/>
        <c:scaling>
          <c:orientation val="minMax"/>
        </c:scaling>
        <c:axPos val="b"/>
        <c:title>
          <c:tx>
            <c:rich>
              <a:bodyPr vert="horz" rot="0" anchor="ctr"/>
              <a:lstStyle/>
              <a:p>
                <a:pPr algn="ctr">
                  <a:defRPr/>
                </a:pPr>
                <a:r>
                  <a:rPr lang="en-US" cap="none" sz="1925" b="1" i="0" u="none" baseline="0">
                    <a:solidFill>
                      <a:srgbClr val="000000"/>
                    </a:solidFill>
                    <a:latin typeface="Arial"/>
                    <a:ea typeface="Arial"/>
                    <a:cs typeface="Arial"/>
                  </a:rPr>
                  <a:t>Month</a:t>
                </a:r>
              </a:p>
            </c:rich>
          </c:tx>
          <c:layout>
            <c:manualLayout>
              <c:xMode val="factor"/>
              <c:yMode val="factor"/>
              <c:x val="-0.00925"/>
              <c:y val="-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925" b="1" i="0" u="none" baseline="0">
                <a:solidFill>
                  <a:srgbClr val="000000"/>
                </a:solidFill>
                <a:latin typeface="Arial"/>
                <a:ea typeface="Arial"/>
                <a:cs typeface="Arial"/>
              </a:defRPr>
            </a:pPr>
          </a:p>
        </c:txPr>
        <c:crossAx val="41052015"/>
        <c:crosses val="autoZero"/>
        <c:auto val="1"/>
        <c:lblOffset val="100"/>
        <c:tickLblSkip val="1"/>
        <c:noMultiLvlLbl val="0"/>
      </c:catAx>
      <c:valAx>
        <c:axId val="41052015"/>
        <c:scaling>
          <c:orientation val="minMax"/>
        </c:scaling>
        <c:axPos val="l"/>
        <c:title>
          <c:tx>
            <c:rich>
              <a:bodyPr vert="horz" rot="-5400000" anchor="ctr"/>
              <a:lstStyle/>
              <a:p>
                <a:pPr algn="ctr">
                  <a:defRPr/>
                </a:pPr>
                <a:r>
                  <a:rPr lang="en-US" cap="none" sz="1925" b="1" i="0" u="none" baseline="0">
                    <a:solidFill>
                      <a:srgbClr val="000000"/>
                    </a:solidFill>
                    <a:latin typeface="Arial"/>
                    <a:ea typeface="Arial"/>
                    <a:cs typeface="Arial"/>
                  </a:rPr>
                  <a:t>Dollars</a:t>
                </a:r>
              </a:p>
            </c:rich>
          </c:tx>
          <c:layout>
            <c:manualLayout>
              <c:xMode val="factor"/>
              <c:yMode val="factor"/>
              <c:x val="-0.022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00" b="1" i="0" u="none" baseline="0">
                <a:solidFill>
                  <a:srgbClr val="000000"/>
                </a:solidFill>
                <a:latin typeface="Arial"/>
                <a:ea typeface="Arial"/>
                <a:cs typeface="Arial"/>
              </a:defRPr>
            </a:pPr>
          </a:p>
        </c:txPr>
        <c:crossAx val="567571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latin typeface="Arial"/>
                <a:ea typeface="Arial"/>
                <a:cs typeface="Arial"/>
              </a:rPr>
              <a:t>Bank Account Balance - Year 1</a:t>
            </a:r>
          </a:p>
        </c:rich>
      </c:tx>
      <c:layout>
        <c:manualLayout>
          <c:xMode val="factor"/>
          <c:yMode val="factor"/>
          <c:x val="0.0335"/>
          <c:y val="-0.0015"/>
        </c:manualLayout>
      </c:layout>
      <c:spPr>
        <a:noFill/>
        <a:ln>
          <a:noFill/>
        </a:ln>
      </c:spPr>
    </c:title>
    <c:plotArea>
      <c:layout>
        <c:manualLayout>
          <c:xMode val="edge"/>
          <c:yMode val="edge"/>
          <c:x val="0.11175"/>
          <c:y val="0.141"/>
          <c:w val="0.85025"/>
          <c:h val="0.78025"/>
        </c:manualLayout>
      </c:layout>
      <c:lineChart>
        <c:grouping val="standard"/>
        <c:varyColors val="0"/>
        <c:ser>
          <c:idx val="0"/>
          <c:order val="0"/>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Financials!$C$136:$N$136</c:f>
              <c:strCache/>
            </c:strRef>
          </c:cat>
          <c:val>
            <c:numRef>
              <c:f>Financials!$C$145:$N$145</c:f>
              <c:numCache/>
            </c:numRef>
          </c:val>
          <c:smooth val="1"/>
        </c:ser>
        <c:marker val="1"/>
        <c:axId val="33923816"/>
        <c:axId val="36878889"/>
      </c:lineChart>
      <c:catAx>
        <c:axId val="33923816"/>
        <c:scaling>
          <c:orientation val="minMax"/>
        </c:scaling>
        <c:axPos val="b"/>
        <c:title>
          <c:tx>
            <c:rich>
              <a:bodyPr vert="horz" rot="0" anchor="ctr"/>
              <a:lstStyle/>
              <a:p>
                <a:pPr algn="ctr">
                  <a:defRPr/>
                </a:pPr>
                <a:r>
                  <a:rPr lang="en-US" cap="none" sz="2200" b="1" i="0" u="none" baseline="0">
                    <a:solidFill>
                      <a:srgbClr val="000000"/>
                    </a:solidFill>
                    <a:latin typeface="Arial"/>
                    <a:ea typeface="Arial"/>
                    <a:cs typeface="Arial"/>
                  </a:rPr>
                  <a:t>Months</a:t>
                </a:r>
              </a:p>
            </c:rich>
          </c:tx>
          <c:layout>
            <c:manualLayout>
              <c:xMode val="factor"/>
              <c:yMode val="factor"/>
              <c:x val="-0.02125"/>
              <c:y val="-0.01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2575" b="1" i="0" u="none" baseline="0">
                <a:solidFill>
                  <a:srgbClr val="000000"/>
                </a:solidFill>
                <a:latin typeface="Arial"/>
                <a:ea typeface="Arial"/>
                <a:cs typeface="Arial"/>
              </a:defRPr>
            </a:pPr>
          </a:p>
        </c:txPr>
        <c:crossAx val="36878889"/>
        <c:crosses val="autoZero"/>
        <c:auto val="1"/>
        <c:lblOffset val="100"/>
        <c:tickLblSkip val="1"/>
        <c:noMultiLvlLbl val="0"/>
      </c:catAx>
      <c:valAx>
        <c:axId val="36878889"/>
        <c:scaling>
          <c:orientation val="minMax"/>
          <c:min val="0"/>
        </c:scaling>
        <c:axPos val="l"/>
        <c:title>
          <c:tx>
            <c:rich>
              <a:bodyPr vert="horz" rot="-5400000" anchor="ctr"/>
              <a:lstStyle/>
              <a:p>
                <a:pPr algn="ctr">
                  <a:defRPr/>
                </a:pPr>
                <a:r>
                  <a:rPr lang="en-US" cap="none" sz="2200" b="1" i="0" u="none" baseline="0">
                    <a:solidFill>
                      <a:srgbClr val="000000"/>
                    </a:solidFill>
                    <a:latin typeface="Arial"/>
                    <a:ea typeface="Arial"/>
                    <a:cs typeface="Arial"/>
                  </a:rPr>
                  <a:t>Dollars</a:t>
                </a:r>
              </a:p>
            </c:rich>
          </c:tx>
          <c:layout>
            <c:manualLayout>
              <c:xMode val="factor"/>
              <c:yMode val="factor"/>
              <c:x val="-0.0287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75" b="1" i="0" u="none" baseline="0">
                <a:solidFill>
                  <a:srgbClr val="000000"/>
                </a:solidFill>
                <a:latin typeface="Arial"/>
                <a:ea typeface="Arial"/>
                <a:cs typeface="Arial"/>
              </a:defRPr>
            </a:pPr>
          </a:p>
        </c:txPr>
        <c:crossAx val="33923816"/>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1" i="0" u="none" baseline="0">
                <a:solidFill>
                  <a:srgbClr val="000000"/>
                </a:solidFill>
                <a:latin typeface="Arial"/>
                <a:ea typeface="Arial"/>
                <a:cs typeface="Arial"/>
              </a:rPr>
              <a:t>BURN RATE</a:t>
            </a:r>
          </a:p>
        </c:rich>
      </c:tx>
      <c:layout>
        <c:manualLayout>
          <c:xMode val="factor"/>
          <c:yMode val="factor"/>
          <c:x val="0.004"/>
          <c:y val="0.00325"/>
        </c:manualLayout>
      </c:layout>
      <c:spPr>
        <a:noFill/>
        <a:ln>
          <a:noFill/>
        </a:ln>
      </c:spPr>
    </c:title>
    <c:plotArea>
      <c:layout>
        <c:manualLayout>
          <c:xMode val="edge"/>
          <c:yMode val="edge"/>
          <c:x val="0.11475"/>
          <c:y val="0.158"/>
          <c:w val="0.83825"/>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Financials!$R$184:$AC$184</c:f>
              <c:strCache/>
            </c:strRef>
          </c:cat>
          <c:val>
            <c:numRef>
              <c:f>Financials!$R$189:$AC$189</c:f>
              <c:numCache/>
            </c:numRef>
          </c:val>
        </c:ser>
        <c:axId val="63474546"/>
        <c:axId val="34400003"/>
      </c:barChart>
      <c:catAx>
        <c:axId val="63474546"/>
        <c:scaling>
          <c:orientation val="minMax"/>
        </c:scaling>
        <c:axPos val="b"/>
        <c:title>
          <c:tx>
            <c:rich>
              <a:bodyPr vert="horz" rot="0" anchor="ctr"/>
              <a:lstStyle/>
              <a:p>
                <a:pPr algn="ctr">
                  <a:defRPr/>
                </a:pPr>
                <a:r>
                  <a:rPr lang="en-US" cap="none" sz="1875" b="1" i="0" u="none" baseline="0">
                    <a:solidFill>
                      <a:srgbClr val="000000"/>
                    </a:solidFill>
                    <a:latin typeface="Arial"/>
                    <a:ea typeface="Arial"/>
                    <a:cs typeface="Arial"/>
                  </a:rPr>
                  <a:t>Month</a:t>
                </a:r>
              </a:p>
            </c:rich>
          </c:tx>
          <c:layout>
            <c:manualLayout>
              <c:xMode val="factor"/>
              <c:yMode val="factor"/>
              <c:x val="-0.0095"/>
              <c:y val="-0.01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875" b="1" i="0" u="none" baseline="0">
                <a:solidFill>
                  <a:srgbClr val="000000"/>
                </a:solidFill>
                <a:latin typeface="Arial"/>
                <a:ea typeface="Arial"/>
                <a:cs typeface="Arial"/>
              </a:defRPr>
            </a:pPr>
          </a:p>
        </c:txPr>
        <c:crossAx val="34400003"/>
        <c:crosses val="autoZero"/>
        <c:auto val="1"/>
        <c:lblOffset val="100"/>
        <c:tickLblSkip val="1"/>
        <c:noMultiLvlLbl val="0"/>
      </c:catAx>
      <c:valAx>
        <c:axId val="34400003"/>
        <c:scaling>
          <c:orientation val="minMax"/>
        </c:scaling>
        <c:axPos val="l"/>
        <c:title>
          <c:tx>
            <c:rich>
              <a:bodyPr vert="horz" rot="-5400000" anchor="ctr"/>
              <a:lstStyle/>
              <a:p>
                <a:pPr algn="ctr">
                  <a:defRPr/>
                </a:pPr>
                <a:r>
                  <a:rPr lang="en-US" cap="none" sz="1875" b="1" i="0" u="none" baseline="0">
                    <a:solidFill>
                      <a:srgbClr val="000000"/>
                    </a:solidFill>
                    <a:latin typeface="Arial"/>
                    <a:ea typeface="Arial"/>
                    <a:cs typeface="Arial"/>
                  </a:rPr>
                  <a:t>Dollars</a:t>
                </a:r>
              </a:p>
            </c:rich>
          </c:tx>
          <c:layout>
            <c:manualLayout>
              <c:xMode val="factor"/>
              <c:yMode val="factor"/>
              <c:x val="-0.026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75" b="1" i="0" u="none" baseline="0">
                <a:solidFill>
                  <a:srgbClr val="000000"/>
                </a:solidFill>
                <a:latin typeface="Arial"/>
                <a:ea typeface="Arial"/>
                <a:cs typeface="Arial"/>
              </a:defRPr>
            </a:pPr>
          </a:p>
        </c:txPr>
        <c:crossAx val="6347454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latin typeface="Arial"/>
                <a:ea typeface="Arial"/>
                <a:cs typeface="Arial"/>
              </a:rPr>
              <a:t>Bank Account Balance - Year 2</a:t>
            </a:r>
          </a:p>
        </c:rich>
      </c:tx>
      <c:layout>
        <c:manualLayout>
          <c:xMode val="factor"/>
          <c:yMode val="factor"/>
          <c:x val="0.0355"/>
          <c:y val="-0.0015"/>
        </c:manualLayout>
      </c:layout>
      <c:spPr>
        <a:noFill/>
        <a:ln>
          <a:noFill/>
        </a:ln>
      </c:spPr>
    </c:title>
    <c:plotArea>
      <c:layout>
        <c:manualLayout>
          <c:xMode val="edge"/>
          <c:yMode val="edge"/>
          <c:x val="0.12875"/>
          <c:y val="0.08625"/>
          <c:w val="0.82725"/>
          <c:h val="0.854"/>
        </c:manualLayout>
      </c:layout>
      <c:lineChart>
        <c:grouping val="standard"/>
        <c:varyColors val="0"/>
        <c:ser>
          <c:idx val="0"/>
          <c:order val="0"/>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Financials!$R$136:$AC$136</c:f>
              <c:strCache/>
            </c:strRef>
          </c:cat>
          <c:val>
            <c:numRef>
              <c:f>Financials!$R$145:$AC$145</c:f>
              <c:numCache/>
            </c:numRef>
          </c:val>
          <c:smooth val="1"/>
        </c:ser>
        <c:marker val="1"/>
        <c:axId val="41164572"/>
        <c:axId val="34936829"/>
      </c:lineChart>
      <c:catAx>
        <c:axId val="41164572"/>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Months</a:t>
                </a:r>
              </a:p>
            </c:rich>
          </c:tx>
          <c:layout>
            <c:manualLayout>
              <c:xMode val="factor"/>
              <c:yMode val="factor"/>
              <c:x val="-0.01025"/>
              <c:y val="-0.01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775" b="1" i="0" u="none" baseline="0">
                <a:solidFill>
                  <a:srgbClr val="000000"/>
                </a:solidFill>
                <a:latin typeface="Arial"/>
                <a:ea typeface="Arial"/>
                <a:cs typeface="Arial"/>
              </a:defRPr>
            </a:pPr>
          </a:p>
        </c:txPr>
        <c:crossAx val="34936829"/>
        <c:crosses val="autoZero"/>
        <c:auto val="1"/>
        <c:lblOffset val="100"/>
        <c:tickLblSkip val="1"/>
        <c:noMultiLvlLbl val="0"/>
      </c:catAx>
      <c:valAx>
        <c:axId val="34936829"/>
        <c:scaling>
          <c:orientation val="minMax"/>
          <c:min val="0"/>
        </c:scaling>
        <c:axPos val="l"/>
        <c:title>
          <c:tx>
            <c:rich>
              <a:bodyPr vert="horz" rot="-5400000" anchor="ctr"/>
              <a:lstStyle/>
              <a:p>
                <a:pPr algn="ctr">
                  <a:defRPr/>
                </a:pPr>
                <a:r>
                  <a:rPr lang="en-US" cap="none" sz="1800" b="1" i="0" u="none" baseline="0">
                    <a:solidFill>
                      <a:srgbClr val="000000"/>
                    </a:solidFill>
                    <a:latin typeface="Arial"/>
                    <a:ea typeface="Arial"/>
                    <a:cs typeface="Arial"/>
                  </a:rPr>
                  <a:t>Dollars</a:t>
                </a:r>
              </a:p>
            </c:rich>
          </c:tx>
          <c:layout>
            <c:manualLayout>
              <c:xMode val="factor"/>
              <c:yMode val="factor"/>
              <c:x val="-0.02275"/>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75" b="1" i="0" u="none" baseline="0">
                <a:solidFill>
                  <a:srgbClr val="000000"/>
                </a:solidFill>
                <a:latin typeface="Arial"/>
                <a:ea typeface="Arial"/>
                <a:cs typeface="Arial"/>
              </a:defRPr>
            </a:pPr>
          </a:p>
        </c:txPr>
        <c:crossAx val="41164572"/>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Headcount - Year 1</a:t>
            </a:r>
          </a:p>
        </c:rich>
      </c:tx>
      <c:layout>
        <c:manualLayout>
          <c:xMode val="factor"/>
          <c:yMode val="factor"/>
          <c:x val="-0.00125"/>
          <c:y val="-0.013"/>
        </c:manualLayout>
      </c:layout>
      <c:spPr>
        <a:noFill/>
        <a:ln w="3175">
          <a:noFill/>
        </a:ln>
      </c:spPr>
    </c:title>
    <c:plotArea>
      <c:layout>
        <c:manualLayout>
          <c:xMode val="edge"/>
          <c:yMode val="edge"/>
          <c:x val="0.103"/>
          <c:y val="0.13925"/>
          <c:w val="0.888"/>
          <c:h val="0.7265"/>
        </c:manualLayout>
      </c:layout>
      <c:lineChart>
        <c:grouping val="standard"/>
        <c:varyColors val="0"/>
        <c:ser>
          <c:idx val="0"/>
          <c:order val="0"/>
          <c:tx>
            <c:strRef>
              <c:f>Metrics!$A$49</c:f>
              <c:strCache>
                <c:ptCount val="1"/>
                <c:pt idx="0">
                  <c:v>2022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Metrics!$B$47:$M$47</c:f>
              <c:strCache/>
            </c:strRef>
          </c:cat>
          <c:val>
            <c:numRef>
              <c:f>Metrics!$B$49:$M$49</c:f>
              <c:numCache/>
            </c:numRef>
          </c:val>
          <c:smooth val="1"/>
        </c:ser>
        <c:marker val="1"/>
        <c:axId val="45996006"/>
        <c:axId val="11310871"/>
      </c:lineChart>
      <c:catAx>
        <c:axId val="4599600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Months</a:t>
                </a:r>
              </a:p>
            </c:rich>
          </c:tx>
          <c:layout>
            <c:manualLayout>
              <c:xMode val="factor"/>
              <c:yMode val="factor"/>
              <c:x val="-0.027"/>
              <c:y val="-0.017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low"/>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11310871"/>
        <c:crosses val="autoZero"/>
        <c:auto val="1"/>
        <c:lblOffset val="0"/>
        <c:tickLblSkip val="1"/>
        <c:noMultiLvlLbl val="0"/>
      </c:catAx>
      <c:valAx>
        <c:axId val="11310871"/>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Total Employees &amp; Contractors</a:t>
                </a:r>
              </a:p>
            </c:rich>
          </c:tx>
          <c:layout>
            <c:manualLayout>
              <c:xMode val="factor"/>
              <c:yMode val="factor"/>
              <c:x val="-0.025"/>
              <c:y val="-0.001"/>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45996006"/>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latin typeface="Arial"/>
                <a:ea typeface="Arial"/>
                <a:cs typeface="Arial"/>
              </a:rPr>
              <a:t>Corporate Valuation</a:t>
            </a:r>
            <a:r>
              <a:rPr lang="en-US" cap="none" sz="2200" b="1"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Pre Money - Green (Left)
</a:t>
            </a:r>
            <a:r>
              <a:rPr lang="en-US" cap="none" sz="1600" b="0" i="0" u="none" baseline="0">
                <a:solidFill>
                  <a:srgbClr val="000000"/>
                </a:solidFill>
                <a:latin typeface="Arial"/>
                <a:ea typeface="Arial"/>
                <a:cs typeface="Arial"/>
              </a:rPr>
              <a:t>Post Money - Purple (Right)</a:t>
            </a:r>
          </a:p>
        </c:rich>
      </c:tx>
      <c:layout>
        <c:manualLayout>
          <c:xMode val="factor"/>
          <c:yMode val="factor"/>
          <c:x val="0.00175"/>
          <c:y val="-0.01"/>
        </c:manualLayout>
      </c:layout>
      <c:spPr>
        <a:noFill/>
        <a:ln>
          <a:noFill/>
        </a:ln>
      </c:spPr>
    </c:title>
    <c:plotArea>
      <c:layout>
        <c:manualLayout>
          <c:xMode val="edge"/>
          <c:yMode val="edge"/>
          <c:x val="0.00225"/>
          <c:y val="0.17325"/>
          <c:w val="0.9945"/>
          <c:h val="0.82675"/>
        </c:manualLayout>
      </c:layout>
      <c:barChart>
        <c:barDir val="col"/>
        <c:grouping val="clustered"/>
        <c:varyColors val="0"/>
        <c:ser>
          <c:idx val="0"/>
          <c:order val="0"/>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Founders</c:v>
              </c:pt>
              <c:pt idx="1">
                <c:v>A Round</c:v>
              </c:pt>
              <c:pt idx="2">
                <c:v>B Round</c:v>
              </c:pt>
              <c:pt idx="3">
                <c:v>C Round</c:v>
              </c:pt>
            </c:strLit>
          </c:cat>
          <c:val>
            <c:numLit>
              <c:ptCount val="4"/>
              <c:pt idx="0">
                <c:v>0</c:v>
              </c:pt>
              <c:pt idx="1">
                <c:v>230000</c:v>
              </c:pt>
              <c:pt idx="2">
                <c:v>875000</c:v>
              </c:pt>
              <c:pt idx="3">
                <c:v>1840000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38100">
                <a:solidFill>
                  <a:srgbClr val="0000FF"/>
                </a:solidFill>
              </a:ln>
            </c:spPr>
            <c:trendlineType val="exp"/>
            <c:dispEq val="0"/>
            <c:dispRSqr val="0"/>
          </c:trendline>
          <c:cat>
            <c:strLit>
              <c:ptCount val="4"/>
              <c:pt idx="0">
                <c:v>Founders</c:v>
              </c:pt>
              <c:pt idx="1">
                <c:v>A Round</c:v>
              </c:pt>
              <c:pt idx="2">
                <c:v>B Round</c:v>
              </c:pt>
              <c:pt idx="3">
                <c:v>C Round</c:v>
              </c:pt>
            </c:strLit>
          </c:cat>
          <c:val>
            <c:numLit>
              <c:ptCount val="4"/>
              <c:pt idx="0">
                <c:v>46000</c:v>
              </c:pt>
              <c:pt idx="1">
                <c:v>350000</c:v>
              </c:pt>
              <c:pt idx="2">
                <c:v>1150000</c:v>
              </c:pt>
              <c:pt idx="3">
                <c:v>2340000</c:v>
              </c:pt>
            </c:numLit>
          </c:val>
        </c:ser>
        <c:axId val="34688976"/>
        <c:axId val="43765329"/>
      </c:barChart>
      <c:catAx>
        <c:axId val="346889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43765329"/>
        <c:crosses val="autoZero"/>
        <c:auto val="0"/>
        <c:lblOffset val="100"/>
        <c:tickLblSkip val="1"/>
        <c:noMultiLvlLbl val="0"/>
      </c:catAx>
      <c:valAx>
        <c:axId val="4376532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3468897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Headcount - Year 2</a:t>
            </a:r>
          </a:p>
        </c:rich>
      </c:tx>
      <c:layout>
        <c:manualLayout>
          <c:xMode val="factor"/>
          <c:yMode val="factor"/>
          <c:x val="-0.00225"/>
          <c:y val="-0.013"/>
        </c:manualLayout>
      </c:layout>
      <c:spPr>
        <a:noFill/>
        <a:ln w="3175">
          <a:noFill/>
        </a:ln>
      </c:spPr>
    </c:title>
    <c:plotArea>
      <c:layout>
        <c:manualLayout>
          <c:xMode val="edge"/>
          <c:yMode val="edge"/>
          <c:x val="0.10575"/>
          <c:y val="0.12075"/>
          <c:w val="0.8885"/>
          <c:h val="0.74125"/>
        </c:manualLayout>
      </c:layout>
      <c:lineChart>
        <c:grouping val="standard"/>
        <c:varyColors val="0"/>
        <c:ser>
          <c:idx val="0"/>
          <c:order val="0"/>
          <c:tx>
            <c:strRef>
              <c:f>Metrics!$A$52</c:f>
              <c:strCache>
                <c:ptCount val="1"/>
                <c:pt idx="0">
                  <c:v>2023</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Metrics!$B$47:$M$47</c:f>
              <c:strCache/>
            </c:strRef>
          </c:cat>
          <c:val>
            <c:numRef>
              <c:f>Metrics!$B$52:$M$52</c:f>
              <c:numCache/>
            </c:numRef>
          </c:val>
          <c:smooth val="1"/>
        </c:ser>
        <c:marker val="1"/>
        <c:axId val="58343642"/>
        <c:axId val="55330731"/>
      </c:lineChart>
      <c:catAx>
        <c:axId val="5834364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Months</a:t>
                </a:r>
              </a:p>
            </c:rich>
          </c:tx>
          <c:layout>
            <c:manualLayout>
              <c:xMode val="factor"/>
              <c:yMode val="factor"/>
              <c:x val="-0.0265"/>
              <c:y val="-0.018"/>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low"/>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55330731"/>
        <c:crosses val="autoZero"/>
        <c:auto val="1"/>
        <c:lblOffset val="0"/>
        <c:tickLblSkip val="1"/>
        <c:noMultiLvlLbl val="0"/>
      </c:catAx>
      <c:valAx>
        <c:axId val="55330731"/>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Total Employees &amp; Contractors</a:t>
                </a:r>
              </a:p>
            </c:rich>
          </c:tx>
          <c:layout>
            <c:manualLayout>
              <c:xMode val="factor"/>
              <c:yMode val="factor"/>
              <c:x val="-0.025"/>
              <c:y val="-0.001"/>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58343642"/>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solidFill>
                  <a:srgbClr val="000000"/>
                </a:solidFill>
                <a:latin typeface="Arial"/>
                <a:ea typeface="Arial"/>
                <a:cs typeface="Arial"/>
              </a:rPr>
              <a:t>Headcount Growth</a:t>
            </a:r>
          </a:p>
        </c:rich>
      </c:tx>
      <c:layout/>
      <c:spPr>
        <a:noFill/>
        <a:ln>
          <a:noFill/>
        </a:ln>
      </c:spPr>
    </c:title>
    <c:plotArea>
      <c:layout/>
      <c:lineChart>
        <c:grouping val="standard"/>
        <c:varyColors val="0"/>
        <c:ser>
          <c:idx val="0"/>
          <c:order val="0"/>
          <c:tx>
            <c:v>Home Office Employees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noFill/>
              <a:ln>
                <a:noFill/>
              </a:ln>
            </c:spPr>
          </c:marker>
          <c:cat>
            <c:strRef>
              <c:f>Headcount!#REF!</c:f>
              <c:strCache>
                <c:ptCount val="1"/>
                <c:pt idx="0">
                  <c:v>1</c:v>
                </c:pt>
              </c:strCache>
            </c:strRef>
          </c:cat>
          <c:val>
            <c:numRef>
              <c:f>Headcount!#REF!</c:f>
              <c:numCache>
                <c:ptCount val="1"/>
                <c:pt idx="0">
                  <c:v>1</c:v>
                </c:pt>
              </c:numCache>
            </c:numRef>
          </c:val>
          <c:smooth val="1"/>
        </c:ser>
        <c:ser>
          <c:idx val="1"/>
          <c:order val="1"/>
          <c:tx>
            <c:v>Remote Office Employees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Headcount!#REF!</c:f>
              <c:strCache>
                <c:ptCount val="1"/>
                <c:pt idx="0">
                  <c:v>1</c:v>
                </c:pt>
              </c:strCache>
            </c:strRef>
          </c:cat>
          <c:val>
            <c:numRef>
              <c:f>Headcount!#REF!</c:f>
              <c:numCache>
                <c:ptCount val="1"/>
                <c:pt idx="0">
                  <c:v>1</c:v>
                </c:pt>
              </c:numCache>
            </c:numRef>
          </c:val>
          <c:smooth val="1"/>
        </c:ser>
        <c:marker val="1"/>
        <c:axId val="1611578"/>
        <c:axId val="14504203"/>
      </c:lineChart>
      <c:catAx>
        <c:axId val="1611578"/>
        <c:scaling>
          <c:orientation val="minMax"/>
        </c:scaling>
        <c:axPos val="b"/>
        <c:title>
          <c:tx>
            <c:rich>
              <a:bodyPr vert="horz" rot="0" anchor="ctr"/>
              <a:lstStyle/>
              <a:p>
                <a:pPr algn="ctr">
                  <a:defRPr/>
                </a:pPr>
                <a:r>
                  <a:rPr lang="en-US" cap="none" sz="325" b="1" i="0" u="none" baseline="0">
                    <a:solidFill>
                      <a:srgbClr val="000000"/>
                    </a:solidFill>
                    <a:latin typeface="Arial"/>
                    <a:ea typeface="Arial"/>
                    <a:cs typeface="Arial"/>
                  </a:rPr>
                  <a:t>Months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14504203"/>
        <c:crosses val="autoZero"/>
        <c:auto val="1"/>
        <c:lblOffset val="100"/>
        <c:tickLblSkip val="1"/>
        <c:noMultiLvlLbl val="0"/>
      </c:catAx>
      <c:valAx>
        <c:axId val="14504203"/>
        <c:scaling>
          <c:orientation val="minMax"/>
        </c:scaling>
        <c:axPos val="l"/>
        <c:title>
          <c:tx>
            <c:rich>
              <a:bodyPr vert="horz" rot="-5400000" anchor="ctr"/>
              <a:lstStyle/>
              <a:p>
                <a:pPr algn="ctr">
                  <a:defRPr/>
                </a:pPr>
                <a:r>
                  <a:rPr lang="en-US" cap="none" sz="325" b="1" i="0" u="none" baseline="0">
                    <a:solidFill>
                      <a:srgbClr val="000000"/>
                    </a:solidFill>
                    <a:latin typeface="Arial"/>
                    <a:ea typeface="Arial"/>
                    <a:cs typeface="Arial"/>
                  </a:rPr>
                  <a:t>Headcount</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1611578"/>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Year 1 - Total Revenue By Category</a:t>
            </a:r>
          </a:p>
        </c:rich>
      </c:tx>
      <c:layout/>
      <c:spPr>
        <a:noFill/>
        <a:ln w="3175">
          <a:noFill/>
        </a:ln>
      </c:spPr>
    </c:title>
    <c:plotArea>
      <c:layout/>
      <c:lineChart>
        <c:grouping val="standard"/>
        <c:varyColors val="0"/>
        <c:ser>
          <c:idx val="0"/>
          <c:order val="0"/>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val>
            <c:numLit>
              <c:ptCount val="1"/>
              <c:pt idx="0">
                <c:v>0</c:v>
              </c:pt>
            </c:numLit>
          </c:val>
          <c:smooth val="1"/>
        </c:ser>
        <c:ser>
          <c:idx val="2"/>
          <c:order val="2"/>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4"/>
            <c:spPr>
              <a:solidFill>
                <a:srgbClr val="FFFFFF"/>
              </a:solidFill>
              <a:ln>
                <a:solidFill>
                  <a:srgbClr val="000000"/>
                </a:solidFill>
              </a:ln>
            </c:spPr>
          </c:marker>
          <c:val>
            <c:numLit>
              <c:ptCount val="1"/>
              <c:pt idx="0">
                <c:v>0</c:v>
              </c:pt>
            </c:numLit>
          </c:val>
          <c:smooth val="1"/>
        </c:ser>
        <c:marker val="1"/>
        <c:axId val="63428964"/>
        <c:axId val="33989765"/>
      </c:lineChart>
      <c:catAx>
        <c:axId val="63428964"/>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Months</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low"/>
        <c:spPr>
          <a:ln w="25400">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33989765"/>
        <c:crosses val="autoZero"/>
        <c:auto val="1"/>
        <c:lblOffset val="100"/>
        <c:tickLblSkip val="1"/>
        <c:noMultiLvlLbl val="0"/>
      </c:catAx>
      <c:valAx>
        <c:axId val="33989765"/>
        <c:scaling>
          <c:orientation val="minMax"/>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Revenue ($)</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63428964"/>
        <c:crossesAt val="1"/>
        <c:crossBetween val="midCat"/>
        <c:dispUnits/>
      </c:valAx>
      <c:spPr>
        <a:solidFill>
          <a:srgbClr val="FFFFFF"/>
        </a:solidFill>
        <a:ln w="3175">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8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Year 2 - Total Revenue By Category</a:t>
            </a:r>
          </a:p>
        </c:rich>
      </c:tx>
      <c:layout/>
      <c:spPr>
        <a:noFill/>
        <a:ln w="3175">
          <a:noFill/>
        </a:ln>
      </c:spPr>
    </c:title>
    <c:plotArea>
      <c:layout/>
      <c:lineChart>
        <c:grouping val="standard"/>
        <c:varyColors val="0"/>
        <c:ser>
          <c:idx val="0"/>
          <c:order val="0"/>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val>
            <c:numLit>
              <c:ptCount val="1"/>
              <c:pt idx="0">
                <c:v>0</c:v>
              </c:pt>
            </c:numLit>
          </c:val>
          <c:smooth val="1"/>
        </c:ser>
        <c:ser>
          <c:idx val="2"/>
          <c:order val="2"/>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val>
            <c:numLit>
              <c:ptCount val="1"/>
              <c:pt idx="0">
                <c:v>0</c:v>
              </c:pt>
            </c:numLit>
          </c:val>
          <c:smooth val="1"/>
        </c:ser>
        <c:marker val="1"/>
        <c:axId val="37472430"/>
        <c:axId val="1707551"/>
      </c:lineChart>
      <c:catAx>
        <c:axId val="37472430"/>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Months</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low"/>
        <c:spPr>
          <a:ln w="25400">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707551"/>
        <c:crosses val="autoZero"/>
        <c:auto val="1"/>
        <c:lblOffset val="100"/>
        <c:tickLblSkip val="1"/>
        <c:noMultiLvlLbl val="0"/>
      </c:catAx>
      <c:valAx>
        <c:axId val="1707551"/>
        <c:scaling>
          <c:orientation val="minMax"/>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Revenue ($)</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7472430"/>
        <c:crossesAt val="1"/>
        <c:crossBetween val="between"/>
        <c:dispUnits/>
      </c:valAx>
      <c:spPr>
        <a:solidFill>
          <a:srgbClr val="FFFFFF"/>
        </a:solidFill>
        <a:ln w="3175">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8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15367960"/>
        <c:axId val="4093913"/>
      </c:lineChart>
      <c:catAx>
        <c:axId val="15367960"/>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4093913"/>
        <c:crosses val="autoZero"/>
        <c:auto val="1"/>
        <c:lblOffset val="100"/>
        <c:tickLblSkip val="1"/>
        <c:noMultiLvlLbl val="0"/>
      </c:catAx>
      <c:valAx>
        <c:axId val="4093913"/>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15367960"/>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SALES and GROSS MARGIN - Year 2</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36845218"/>
        <c:axId val="63171507"/>
      </c:lineChart>
      <c:catAx>
        <c:axId val="36845218"/>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63171507"/>
        <c:crosses val="autoZero"/>
        <c:auto val="1"/>
        <c:lblOffset val="100"/>
        <c:tickLblSkip val="1"/>
        <c:noMultiLvlLbl val="0"/>
      </c:catAx>
      <c:valAx>
        <c:axId val="63171507"/>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36845218"/>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REMOTE OFFICE 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31672652"/>
        <c:axId val="16618413"/>
      </c:lineChart>
      <c:catAx>
        <c:axId val="31672652"/>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16618413"/>
        <c:crosses val="autoZero"/>
        <c:auto val="1"/>
        <c:lblOffset val="100"/>
        <c:tickLblSkip val="1"/>
        <c:noMultiLvlLbl val="0"/>
      </c:catAx>
      <c:valAx>
        <c:axId val="16618413"/>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31672652"/>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REMOTE OFFICE SALES and GROSS MARGIN - Year 2</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347990"/>
        <c:axId val="3914183"/>
      </c:lineChart>
      <c:catAx>
        <c:axId val="15347990"/>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3914183"/>
        <c:crosses val="autoZero"/>
        <c:auto val="1"/>
        <c:lblOffset val="100"/>
        <c:tickLblSkip val="1"/>
        <c:noMultiLvlLbl val="0"/>
      </c:catAx>
      <c:valAx>
        <c:axId val="3914183"/>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15347990"/>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Year 1 - Total Revenue By Category</a:t>
            </a:r>
          </a:p>
        </c:rich>
      </c:tx>
      <c:layout/>
      <c:spPr>
        <a:noFill/>
        <a:ln w="3175">
          <a:noFill/>
        </a:ln>
      </c:spPr>
    </c:title>
    <c:plotArea>
      <c:layout/>
      <c:lineChart>
        <c:grouping val="standard"/>
        <c:varyColors val="0"/>
        <c:ser>
          <c:idx val="0"/>
          <c:order val="0"/>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val>
            <c:numLit>
              <c:ptCount val="1"/>
              <c:pt idx="0">
                <c:v>0</c:v>
              </c:pt>
            </c:numLit>
          </c:val>
          <c:smooth val="1"/>
        </c:ser>
        <c:ser>
          <c:idx val="2"/>
          <c:order val="2"/>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4"/>
            <c:spPr>
              <a:solidFill>
                <a:srgbClr val="FFFFFF"/>
              </a:solidFill>
              <a:ln>
                <a:solidFill>
                  <a:srgbClr val="000000"/>
                </a:solidFill>
              </a:ln>
            </c:spPr>
          </c:marker>
          <c:val>
            <c:numLit>
              <c:ptCount val="1"/>
              <c:pt idx="0">
                <c:v>0</c:v>
              </c:pt>
            </c:numLit>
          </c:val>
          <c:smooth val="1"/>
        </c:ser>
        <c:marker val="1"/>
        <c:axId val="35227648"/>
        <c:axId val="48613377"/>
      </c:lineChart>
      <c:catAx>
        <c:axId val="35227648"/>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Months</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low"/>
        <c:spPr>
          <a:ln w="25400">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48613377"/>
        <c:crosses val="autoZero"/>
        <c:auto val="1"/>
        <c:lblOffset val="100"/>
        <c:tickLblSkip val="1"/>
        <c:noMultiLvlLbl val="0"/>
      </c:catAx>
      <c:valAx>
        <c:axId val="48613377"/>
        <c:scaling>
          <c:orientation val="minMax"/>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Revenue ($)</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35227648"/>
        <c:crossesAt val="1"/>
        <c:crossBetween val="midCat"/>
        <c:dispUnits/>
      </c:valAx>
      <c:spPr>
        <a:solidFill>
          <a:srgbClr val="FFFFFF"/>
        </a:solidFill>
        <a:ln w="3175">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8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161925</xdr:rowOff>
    </xdr:from>
    <xdr:to>
      <xdr:col>8</xdr:col>
      <xdr:colOff>847725</xdr:colOff>
      <xdr:row>32</xdr:row>
      <xdr:rowOff>133350</xdr:rowOff>
    </xdr:to>
    <xdr:sp>
      <xdr:nvSpPr>
        <xdr:cNvPr id="1" name="Text Box 7"/>
        <xdr:cNvSpPr txBox="1">
          <a:spLocks noChangeArrowheads="1"/>
        </xdr:cNvSpPr>
      </xdr:nvSpPr>
      <xdr:spPr>
        <a:xfrm>
          <a:off x="142875" y="6153150"/>
          <a:ext cx="7124700" cy="186690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This operating plan is a strategic tool for management and for the use of familiarizing prospective investors with the forecasted operations of this company. This document does not purport to be exhaustive or to contain all the information a prospective investor may desire. This document is prepared to determine the resources required to supply operations for the periods indicated.  This document is a financial forecasting tool.  The data presented is not necessarily prepared in accordance with Generally Accepted Accounting Principles (GAAP).  No representation or warranty is made as to the accuracy, reliability or completeness of any of the information contained herein.   Nothing contained in this document is, or should be relied upon as, a promise or representation of future events or conditions. Recipients of this document agree that all information contained herein is of a confidential nature, that they will treat it in such confidential manner and that they will not, directly or indirectly, disclose or permit their agents or affiliates to disclose any of such information without the prior written consent of this company. Neither this document nor its delivery to any prospective investor shall constitute an offer to sell, or a solicitation of an offer to buy, any securities of this Corporation. Nor shall the receipt of this document be construed to indicate that there has not been any change in the affairs of the company.</a:t>
          </a:r>
        </a:p>
      </xdr:txBody>
    </xdr:sp>
    <xdr:clientData/>
  </xdr:twoCellAnchor>
  <xdr:twoCellAnchor>
    <xdr:from>
      <xdr:col>10</xdr:col>
      <xdr:colOff>180975</xdr:colOff>
      <xdr:row>0</xdr:row>
      <xdr:rowOff>19050</xdr:rowOff>
    </xdr:from>
    <xdr:to>
      <xdr:col>12</xdr:col>
      <xdr:colOff>876300</xdr:colOff>
      <xdr:row>30</xdr:row>
      <xdr:rowOff>114300</xdr:rowOff>
    </xdr:to>
    <xdr:sp>
      <xdr:nvSpPr>
        <xdr:cNvPr id="2" name="Text 10"/>
        <xdr:cNvSpPr txBox="1">
          <a:spLocks noChangeArrowheads="1"/>
        </xdr:cNvSpPr>
      </xdr:nvSpPr>
      <xdr:spPr>
        <a:xfrm>
          <a:off x="8429625" y="19050"/>
          <a:ext cx="2524125" cy="7515225"/>
        </a:xfrm>
        <a:prstGeom prst="rect">
          <a:avLst/>
        </a:prstGeom>
        <a:solidFill>
          <a:srgbClr val="FFFFFF"/>
        </a:solidFill>
        <a:ln w="9525" cmpd="sng">
          <a:noFill/>
        </a:ln>
      </xdr:spPr>
      <xdr:txBody>
        <a:bodyPr vertOverflow="clip" wrap="square" lIns="36576" tIns="27432" rIns="0" bIns="0"/>
        <a:p>
          <a:pPr algn="l">
            <a:defRPr/>
          </a:pPr>
          <a:r>
            <a:rPr lang="en-US" cap="none" sz="1200" b="1" i="0" u="sng" baseline="0">
              <a:solidFill>
                <a:srgbClr val="000000"/>
              </a:solidFill>
              <a:latin typeface="Arial MT"/>
              <a:ea typeface="Arial MT"/>
              <a:cs typeface="Arial MT"/>
            </a:rPr>
            <a:t>CONTENTS:</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HEADCOUNT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Headcount Units
</a:t>
          </a:r>
          <a:r>
            <a:rPr lang="en-US" cap="none" sz="1000" b="0" i="0" u="none" baseline="0">
              <a:solidFill>
                <a:srgbClr val="000000"/>
              </a:solidFill>
              <a:latin typeface="Arial MT"/>
              <a:ea typeface="Arial MT"/>
              <a:cs typeface="Arial MT"/>
            </a:rPr>
            <a:t>Salaries &amp; Contractor Fees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EXPENSES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Expense Budget by Category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EQUIPMENT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Computer Equipment
</a:t>
          </a:r>
          <a:r>
            <a:rPr lang="en-US" cap="none" sz="1000" b="0" i="0" u="none" baseline="0">
              <a:solidFill>
                <a:srgbClr val="000000"/>
              </a:solidFill>
              <a:latin typeface="Arial MT"/>
              <a:ea typeface="Arial MT"/>
              <a:cs typeface="Arial MT"/>
            </a:rPr>
            <a:t>Furniture &amp; Fixtures
</a:t>
          </a:r>
          <a:r>
            <a:rPr lang="en-US" cap="none" sz="1000" b="0" i="0" u="none" baseline="0">
              <a:solidFill>
                <a:srgbClr val="000000"/>
              </a:solidFill>
              <a:latin typeface="Arial MT"/>
              <a:ea typeface="Arial MT"/>
              <a:cs typeface="Arial MT"/>
            </a:rPr>
            <a:t>Equipment Purchased &amp; Leased
</a:t>
          </a:r>
          <a:r>
            <a:rPr lang="en-US" cap="none" sz="1000" b="0" i="0" u="none" baseline="0">
              <a:solidFill>
                <a:srgbClr val="000000"/>
              </a:solidFill>
              <a:latin typeface="Arial MT"/>
              <a:ea typeface="Arial MT"/>
              <a:cs typeface="Arial MT"/>
            </a:rPr>
            <a:t>Depreciation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SALES/COS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Unit Sales
</a:t>
          </a:r>
          <a:r>
            <a:rPr lang="en-US" cap="none" sz="1000" b="0" i="0" u="none" baseline="0">
              <a:solidFill>
                <a:srgbClr val="000000"/>
              </a:solidFill>
              <a:latin typeface="Arial MT"/>
              <a:ea typeface="Arial MT"/>
              <a:cs typeface="Arial MT"/>
            </a:rPr>
            <a:t>Sales Price Per Unit
</a:t>
          </a:r>
          <a:r>
            <a:rPr lang="en-US" cap="none" sz="1000" b="0" i="0" u="none" baseline="0">
              <a:solidFill>
                <a:srgbClr val="000000"/>
              </a:solidFill>
              <a:latin typeface="Arial MT"/>
              <a:ea typeface="Arial MT"/>
              <a:cs typeface="Arial MT"/>
            </a:rPr>
            <a:t>Total Sales Dollars
</a:t>
          </a:r>
          <a:r>
            <a:rPr lang="en-US" cap="none" sz="1000" b="0" i="0" u="none" baseline="0">
              <a:solidFill>
                <a:srgbClr val="000000"/>
              </a:solidFill>
              <a:latin typeface="Arial MT"/>
              <a:ea typeface="Arial MT"/>
              <a:cs typeface="Arial MT"/>
            </a:rPr>
            <a:t>Cost of Sales
</a:t>
          </a:r>
          <a:r>
            <a:rPr lang="en-US" cap="none" sz="1000" b="0" i="0" u="none" baseline="0">
              <a:solidFill>
                <a:srgbClr val="000000"/>
              </a:solidFill>
              <a:latin typeface="Arial MT"/>
              <a:ea typeface="Arial MT"/>
              <a:cs typeface="Arial MT"/>
            </a:rPr>
            <a:t>Gross Margin
</a:t>
          </a:r>
          <a:r>
            <a:rPr lang="en-US" cap="none" sz="1000" b="0" i="0" u="none" baseline="0">
              <a:solidFill>
                <a:srgbClr val="000000"/>
              </a:solidFill>
              <a:latin typeface="Arial MT"/>
              <a:ea typeface="Arial MT"/>
              <a:cs typeface="Arial MT"/>
            </a:rPr>
            <a:t>Sales/Gross Margin Chart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FINANCIALS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Income Statement
</a:t>
          </a:r>
          <a:r>
            <a:rPr lang="en-US" cap="none" sz="1000" b="0" i="0" u="none" baseline="0">
              <a:solidFill>
                <a:srgbClr val="000000"/>
              </a:solidFill>
              <a:latin typeface="Arial MT"/>
              <a:ea typeface="Arial MT"/>
              <a:cs typeface="Arial MT"/>
            </a:rPr>
            <a:t>Balance Sheet
</a:t>
          </a:r>
          <a:r>
            <a:rPr lang="en-US" cap="none" sz="1000" b="0" i="0" u="none" baseline="0">
              <a:solidFill>
                <a:srgbClr val="000000"/>
              </a:solidFill>
              <a:latin typeface="Arial MT"/>
              <a:ea typeface="Arial MT"/>
              <a:cs typeface="Arial MT"/>
            </a:rPr>
            <a:t>Cash Flow Statement
</a:t>
          </a:r>
          <a:r>
            <a:rPr lang="en-US" cap="none" sz="1000" b="0" i="0" u="none" baseline="0">
              <a:solidFill>
                <a:srgbClr val="000000"/>
              </a:solidFill>
              <a:latin typeface="Arial MT"/>
              <a:ea typeface="Arial MT"/>
              <a:cs typeface="Arial MT"/>
            </a:rPr>
            <a:t>Equity Funding Worksheet
</a:t>
          </a:r>
          <a:r>
            <a:rPr lang="en-US" cap="none" sz="1000" b="0" i="0" u="none" baseline="0">
              <a:solidFill>
                <a:srgbClr val="000000"/>
              </a:solidFill>
              <a:latin typeface="Arial MT"/>
              <a:ea typeface="Arial MT"/>
              <a:cs typeface="Arial MT"/>
            </a:rPr>
            <a:t>Cash Balance - Chart
</a:t>
          </a:r>
          <a:r>
            <a:rPr lang="en-US" cap="none" sz="1000" b="0" i="0" u="none" baseline="0">
              <a:solidFill>
                <a:srgbClr val="000000"/>
              </a:solidFill>
              <a:latin typeface="Arial MT"/>
              <a:ea typeface="Arial MT"/>
              <a:cs typeface="Arial MT"/>
            </a:rPr>
            <a:t>Burn Rate - Chart
</a:t>
          </a:r>
          <a:r>
            <a:rPr lang="en-US" cap="none" sz="1000" b="0" i="0" u="none" baseline="0">
              <a:solidFill>
                <a:srgbClr val="000000"/>
              </a:solidFill>
              <a:latin typeface="Arial MT"/>
              <a:ea typeface="Arial MT"/>
              <a:cs typeface="Arial MT"/>
            </a:rPr>
            <a:t>Debt Funding Worksheets
</a:t>
          </a:r>
          <a:r>
            <a:rPr lang="en-US" cap="none" sz="1000" b="0" i="0" u="none" baseline="0">
              <a:solidFill>
                <a:srgbClr val="000000"/>
              </a:solidFill>
              <a:latin typeface="Arial MT"/>
              <a:ea typeface="Arial MT"/>
              <a:cs typeface="Arial MT"/>
            </a:rPr>
            <a:t>  Revolving Line of Credit, Capital Lease
</a:t>
          </a:r>
          <a:r>
            <a:rPr lang="en-US" cap="none" sz="1000" b="0" i="0" u="none" baseline="0">
              <a:solidFill>
                <a:srgbClr val="000000"/>
              </a:solidFill>
              <a:latin typeface="Arial MT"/>
              <a:ea typeface="Arial MT"/>
              <a:cs typeface="Arial MT"/>
            </a:rPr>
            <a:t>  Note Payable,  Operating Lease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5 YEAR PROJECTIONS</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Income Statement
</a:t>
          </a:r>
          <a:r>
            <a:rPr lang="en-US" cap="none" sz="1000" b="0" i="0" u="none" baseline="0">
              <a:solidFill>
                <a:srgbClr val="000000"/>
              </a:solidFill>
              <a:latin typeface="Arial MT"/>
              <a:ea typeface="Arial MT"/>
              <a:cs typeface="Arial MT"/>
            </a:rPr>
            <a:t>Balance Sheet
</a:t>
          </a:r>
          <a:r>
            <a:rPr lang="en-US" cap="none" sz="1000" b="0" i="0" u="none" baseline="0">
              <a:solidFill>
                <a:srgbClr val="000000"/>
              </a:solidFill>
              <a:latin typeface="Arial MT"/>
              <a:ea typeface="Arial MT"/>
              <a:cs typeface="Arial MT"/>
            </a:rPr>
            <a:t>Cash Flow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METRICS</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Headcount Forecast
</a:t>
          </a:r>
          <a:r>
            <a:rPr lang="en-US" cap="none" sz="1000" b="0" i="0" u="none" baseline="0">
              <a:solidFill>
                <a:srgbClr val="000000"/>
              </a:solidFill>
              <a:latin typeface="Arial MT"/>
              <a:ea typeface="Arial MT"/>
              <a:cs typeface="Arial MT"/>
            </a:rPr>
            <a:t>Facilities - Square Footage Requirement
</a:t>
          </a:r>
          <a:r>
            <a:rPr lang="en-US" cap="none" sz="1000" b="0" i="0" u="none" baseline="0">
              <a:solidFill>
                <a:srgbClr val="000000"/>
              </a:solidFill>
              <a:latin typeface="Arial MT"/>
              <a:ea typeface="Arial MT"/>
              <a:cs typeface="Arial MT"/>
            </a:rPr>
            <a:t>Financial Ratios
</a:t>
          </a:r>
          <a:r>
            <a:rPr lang="en-US" cap="none" sz="1000" b="0" i="0" u="none" baseline="0">
              <a:solidFill>
                <a:srgbClr val="000000"/>
              </a:solidFill>
              <a:latin typeface="Arial MT"/>
              <a:ea typeface="Arial MT"/>
              <a:cs typeface="Arial MT"/>
            </a:rPr>
            <a:t>Stock Distribution
</a:t>
          </a:r>
          <a:r>
            <a:rPr lang="en-US" cap="none" sz="1000" b="0" i="0" u="none" baseline="0">
              <a:solidFill>
                <a:srgbClr val="000000"/>
              </a:solidFill>
              <a:latin typeface="Arial MT"/>
              <a:ea typeface="Arial MT"/>
              <a:cs typeface="Arial MT"/>
            </a:rPr>
            <a:t>IPO Due Diligence Checklist
</a:t>
          </a:r>
          <a:r>
            <a:rPr lang="en-US" cap="none" sz="1000" b="0" i="0" u="none" baseline="0">
              <a:solidFill>
                <a:srgbClr val="000000"/>
              </a:solidFill>
              <a:latin typeface="Arial MT"/>
              <a:ea typeface="Arial MT"/>
              <a:cs typeface="Arial MT"/>
            </a:rPr>
            <a:t>Insurance - Checklist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Ver 5.0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981075</xdr:colOff>
      <xdr:row>0</xdr:row>
      <xdr:rowOff>0</xdr:rowOff>
    </xdr:to>
    <xdr:graphicFrame>
      <xdr:nvGraphicFramePr>
        <xdr:cNvPr id="1" name="Chart 144"/>
        <xdr:cNvGraphicFramePr/>
      </xdr:nvGraphicFramePr>
      <xdr:xfrm>
        <a:off x="0" y="0"/>
        <a:ext cx="17325975" cy="0"/>
      </xdr:xfrm>
      <a:graphic>
        <a:graphicData uri="http://schemas.openxmlformats.org/drawingml/2006/chart">
          <c:chart xmlns:c="http://schemas.openxmlformats.org/drawingml/2006/chart" r:id="rId1"/>
        </a:graphicData>
      </a:graphic>
    </xdr:graphicFrame>
    <xdr:clientData/>
  </xdr:twoCellAnchor>
  <xdr:twoCellAnchor>
    <xdr:from>
      <xdr:col>15</xdr:col>
      <xdr:colOff>171450</xdr:colOff>
      <xdr:row>0</xdr:row>
      <xdr:rowOff>0</xdr:rowOff>
    </xdr:from>
    <xdr:to>
      <xdr:col>29</xdr:col>
      <xdr:colOff>933450</xdr:colOff>
      <xdr:row>0</xdr:row>
      <xdr:rowOff>0</xdr:rowOff>
    </xdr:to>
    <xdr:graphicFrame>
      <xdr:nvGraphicFramePr>
        <xdr:cNvPr id="2" name="Chart 145"/>
        <xdr:cNvGraphicFramePr/>
      </xdr:nvGraphicFramePr>
      <xdr:xfrm>
        <a:off x="17735550" y="0"/>
        <a:ext cx="16659225"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53</xdr:row>
      <xdr:rowOff>0</xdr:rowOff>
    </xdr:from>
    <xdr:to>
      <xdr:col>14</xdr:col>
      <xdr:colOff>762000</xdr:colOff>
      <xdr:row>53</xdr:row>
      <xdr:rowOff>0</xdr:rowOff>
    </xdr:to>
    <xdr:graphicFrame>
      <xdr:nvGraphicFramePr>
        <xdr:cNvPr id="1" name="Chart 133"/>
        <xdr:cNvGraphicFramePr/>
      </xdr:nvGraphicFramePr>
      <xdr:xfrm>
        <a:off x="504825" y="12211050"/>
        <a:ext cx="19192875" cy="0"/>
      </xdr:xfrm>
      <a:graphic>
        <a:graphicData uri="http://schemas.openxmlformats.org/drawingml/2006/chart">
          <c:chart xmlns:c="http://schemas.openxmlformats.org/drawingml/2006/chart" r:id="rId1"/>
        </a:graphicData>
      </a:graphic>
    </xdr:graphicFrame>
    <xdr:clientData/>
  </xdr:twoCellAnchor>
  <xdr:twoCellAnchor>
    <xdr:from>
      <xdr:col>15</xdr:col>
      <xdr:colOff>381000</xdr:colOff>
      <xdr:row>53</xdr:row>
      <xdr:rowOff>0</xdr:rowOff>
    </xdr:from>
    <xdr:to>
      <xdr:col>29</xdr:col>
      <xdr:colOff>866775</xdr:colOff>
      <xdr:row>53</xdr:row>
      <xdr:rowOff>0</xdr:rowOff>
    </xdr:to>
    <xdr:graphicFrame>
      <xdr:nvGraphicFramePr>
        <xdr:cNvPr id="2" name="Chart 134"/>
        <xdr:cNvGraphicFramePr/>
      </xdr:nvGraphicFramePr>
      <xdr:xfrm>
        <a:off x="20688300" y="12211050"/>
        <a:ext cx="19278600" cy="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53</xdr:row>
      <xdr:rowOff>0</xdr:rowOff>
    </xdr:from>
    <xdr:to>
      <xdr:col>14</xdr:col>
      <xdr:colOff>1238250</xdr:colOff>
      <xdr:row>53</xdr:row>
      <xdr:rowOff>0</xdr:rowOff>
    </xdr:to>
    <xdr:graphicFrame>
      <xdr:nvGraphicFramePr>
        <xdr:cNvPr id="3" name="Chart 144"/>
        <xdr:cNvGraphicFramePr/>
      </xdr:nvGraphicFramePr>
      <xdr:xfrm>
        <a:off x="47625" y="12211050"/>
        <a:ext cx="20126325" cy="0"/>
      </xdr:xfrm>
      <a:graphic>
        <a:graphicData uri="http://schemas.openxmlformats.org/drawingml/2006/chart">
          <c:chart xmlns:c="http://schemas.openxmlformats.org/drawingml/2006/chart" r:id="rId3"/>
        </a:graphicData>
      </a:graphic>
    </xdr:graphicFrame>
    <xdr:clientData/>
  </xdr:twoCellAnchor>
  <xdr:twoCellAnchor>
    <xdr:from>
      <xdr:col>15</xdr:col>
      <xdr:colOff>95250</xdr:colOff>
      <xdr:row>53</xdr:row>
      <xdr:rowOff>0</xdr:rowOff>
    </xdr:from>
    <xdr:to>
      <xdr:col>29</xdr:col>
      <xdr:colOff>1066800</xdr:colOff>
      <xdr:row>53</xdr:row>
      <xdr:rowOff>0</xdr:rowOff>
    </xdr:to>
    <xdr:graphicFrame>
      <xdr:nvGraphicFramePr>
        <xdr:cNvPr id="4" name="Chart 145"/>
        <xdr:cNvGraphicFramePr/>
      </xdr:nvGraphicFramePr>
      <xdr:xfrm>
        <a:off x="20402550" y="12211050"/>
        <a:ext cx="19764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53</xdr:row>
      <xdr:rowOff>0</xdr:rowOff>
    </xdr:from>
    <xdr:to>
      <xdr:col>14</xdr:col>
      <xdr:colOff>1247775</xdr:colOff>
      <xdr:row>53</xdr:row>
      <xdr:rowOff>0</xdr:rowOff>
    </xdr:to>
    <xdr:graphicFrame>
      <xdr:nvGraphicFramePr>
        <xdr:cNvPr id="5" name="Chart 146"/>
        <xdr:cNvGraphicFramePr/>
      </xdr:nvGraphicFramePr>
      <xdr:xfrm>
        <a:off x="0" y="12211050"/>
        <a:ext cx="20183475"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53</xdr:row>
      <xdr:rowOff>0</xdr:rowOff>
    </xdr:from>
    <xdr:to>
      <xdr:col>29</xdr:col>
      <xdr:colOff>1152525</xdr:colOff>
      <xdr:row>53</xdr:row>
      <xdr:rowOff>0</xdr:rowOff>
    </xdr:to>
    <xdr:graphicFrame>
      <xdr:nvGraphicFramePr>
        <xdr:cNvPr id="6" name="Chart 147"/>
        <xdr:cNvGraphicFramePr/>
      </xdr:nvGraphicFramePr>
      <xdr:xfrm>
        <a:off x="20307300" y="12211050"/>
        <a:ext cx="19945350" cy="0"/>
      </xdr:xfrm>
      <a:graphic>
        <a:graphicData uri="http://schemas.openxmlformats.org/drawingml/2006/chart">
          <c:chart xmlns:c="http://schemas.openxmlformats.org/drawingml/2006/chart" r:id="rId6"/>
        </a:graphicData>
      </a:graphic>
    </xdr:graphicFrame>
    <xdr:clientData/>
  </xdr:twoCellAnchor>
  <xdr:twoCellAnchor>
    <xdr:from>
      <xdr:col>15</xdr:col>
      <xdr:colOff>504825</xdr:colOff>
      <xdr:row>53</xdr:row>
      <xdr:rowOff>0</xdr:rowOff>
    </xdr:from>
    <xdr:to>
      <xdr:col>29</xdr:col>
      <xdr:colOff>762000</xdr:colOff>
      <xdr:row>53</xdr:row>
      <xdr:rowOff>0</xdr:rowOff>
    </xdr:to>
    <xdr:graphicFrame>
      <xdr:nvGraphicFramePr>
        <xdr:cNvPr id="7" name="Chart 158"/>
        <xdr:cNvGraphicFramePr/>
      </xdr:nvGraphicFramePr>
      <xdr:xfrm>
        <a:off x="20812125" y="12211050"/>
        <a:ext cx="19050000" cy="0"/>
      </xdr:xfrm>
      <a:graphic>
        <a:graphicData uri="http://schemas.openxmlformats.org/drawingml/2006/chart">
          <c:chart xmlns:c="http://schemas.openxmlformats.org/drawingml/2006/chart" r:id="rId7"/>
        </a:graphicData>
      </a:graphic>
    </xdr:graphicFrame>
    <xdr:clientData/>
  </xdr:twoCellAnchor>
  <xdr:twoCellAnchor>
    <xdr:from>
      <xdr:col>15</xdr:col>
      <xdr:colOff>47625</xdr:colOff>
      <xdr:row>53</xdr:row>
      <xdr:rowOff>0</xdr:rowOff>
    </xdr:from>
    <xdr:to>
      <xdr:col>29</xdr:col>
      <xdr:colOff>1238250</xdr:colOff>
      <xdr:row>53</xdr:row>
      <xdr:rowOff>0</xdr:rowOff>
    </xdr:to>
    <xdr:graphicFrame>
      <xdr:nvGraphicFramePr>
        <xdr:cNvPr id="8" name="Chart 159"/>
        <xdr:cNvGraphicFramePr/>
      </xdr:nvGraphicFramePr>
      <xdr:xfrm>
        <a:off x="20354925" y="12211050"/>
        <a:ext cx="19983450" cy="0"/>
      </xdr:xfrm>
      <a:graphic>
        <a:graphicData uri="http://schemas.openxmlformats.org/drawingml/2006/chart">
          <c:chart xmlns:c="http://schemas.openxmlformats.org/drawingml/2006/chart" r:id="rId8"/>
        </a:graphicData>
      </a:graphic>
    </xdr:graphicFrame>
    <xdr:clientData/>
  </xdr:twoCellAnchor>
  <xdr:twoCellAnchor>
    <xdr:from>
      <xdr:col>15</xdr:col>
      <xdr:colOff>0</xdr:colOff>
      <xdr:row>53</xdr:row>
      <xdr:rowOff>0</xdr:rowOff>
    </xdr:from>
    <xdr:to>
      <xdr:col>29</xdr:col>
      <xdr:colOff>1238250</xdr:colOff>
      <xdr:row>53</xdr:row>
      <xdr:rowOff>0</xdr:rowOff>
    </xdr:to>
    <xdr:graphicFrame>
      <xdr:nvGraphicFramePr>
        <xdr:cNvPr id="9" name="Chart 160"/>
        <xdr:cNvGraphicFramePr/>
      </xdr:nvGraphicFramePr>
      <xdr:xfrm>
        <a:off x="20307300" y="12211050"/>
        <a:ext cx="20031075" cy="0"/>
      </xdr:xfrm>
      <a:graphic>
        <a:graphicData uri="http://schemas.openxmlformats.org/drawingml/2006/chart">
          <c:chart xmlns:c="http://schemas.openxmlformats.org/drawingml/2006/chart" r:id="rId9"/>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191</xdr:row>
      <xdr:rowOff>0</xdr:rowOff>
    </xdr:from>
    <xdr:to>
      <xdr:col>14</xdr:col>
      <xdr:colOff>0</xdr:colOff>
      <xdr:row>230</xdr:row>
      <xdr:rowOff>19050</xdr:rowOff>
    </xdr:to>
    <xdr:graphicFrame>
      <xdr:nvGraphicFramePr>
        <xdr:cNvPr id="1" name="Chart 9"/>
        <xdr:cNvGraphicFramePr/>
      </xdr:nvGraphicFramePr>
      <xdr:xfrm>
        <a:off x="285750" y="43757850"/>
        <a:ext cx="17021175" cy="89344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147</xdr:row>
      <xdr:rowOff>171450</xdr:rowOff>
    </xdr:from>
    <xdr:to>
      <xdr:col>14</xdr:col>
      <xdr:colOff>876300</xdr:colOff>
      <xdr:row>176</xdr:row>
      <xdr:rowOff>38100</xdr:rowOff>
    </xdr:to>
    <xdr:graphicFrame>
      <xdr:nvGraphicFramePr>
        <xdr:cNvPr id="2" name="Chart 11"/>
        <xdr:cNvGraphicFramePr/>
      </xdr:nvGraphicFramePr>
      <xdr:xfrm>
        <a:off x="142875" y="33794700"/>
        <a:ext cx="18040350" cy="6496050"/>
      </xdr:xfrm>
      <a:graphic>
        <a:graphicData uri="http://schemas.openxmlformats.org/drawingml/2006/chart">
          <c:chart xmlns:c="http://schemas.openxmlformats.org/drawingml/2006/chart" r:id="rId2"/>
        </a:graphicData>
      </a:graphic>
    </xdr:graphicFrame>
    <xdr:clientData/>
  </xdr:twoCellAnchor>
  <xdr:twoCellAnchor>
    <xdr:from>
      <xdr:col>15</xdr:col>
      <xdr:colOff>285750</xdr:colOff>
      <xdr:row>191</xdr:row>
      <xdr:rowOff>0</xdr:rowOff>
    </xdr:from>
    <xdr:to>
      <xdr:col>29</xdr:col>
      <xdr:colOff>0</xdr:colOff>
      <xdr:row>230</xdr:row>
      <xdr:rowOff>95250</xdr:rowOff>
    </xdr:to>
    <xdr:graphicFrame>
      <xdr:nvGraphicFramePr>
        <xdr:cNvPr id="3" name="Chart 436"/>
        <xdr:cNvGraphicFramePr/>
      </xdr:nvGraphicFramePr>
      <xdr:xfrm>
        <a:off x="18726150" y="43757850"/>
        <a:ext cx="17049750" cy="9010650"/>
      </xdr:xfrm>
      <a:graphic>
        <a:graphicData uri="http://schemas.openxmlformats.org/drawingml/2006/chart">
          <c:chart xmlns:c="http://schemas.openxmlformats.org/drawingml/2006/chart" r:id="rId3"/>
        </a:graphicData>
      </a:graphic>
    </xdr:graphicFrame>
    <xdr:clientData/>
  </xdr:twoCellAnchor>
  <xdr:twoCellAnchor>
    <xdr:from>
      <xdr:col>15</xdr:col>
      <xdr:colOff>142875</xdr:colOff>
      <xdr:row>147</xdr:row>
      <xdr:rowOff>171450</xdr:rowOff>
    </xdr:from>
    <xdr:to>
      <xdr:col>28</xdr:col>
      <xdr:colOff>971550</xdr:colOff>
      <xdr:row>176</xdr:row>
      <xdr:rowOff>38100</xdr:rowOff>
    </xdr:to>
    <xdr:graphicFrame>
      <xdr:nvGraphicFramePr>
        <xdr:cNvPr id="4" name="Chart 438"/>
        <xdr:cNvGraphicFramePr/>
      </xdr:nvGraphicFramePr>
      <xdr:xfrm>
        <a:off x="18583275" y="33794700"/>
        <a:ext cx="17030700" cy="6496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53</xdr:row>
      <xdr:rowOff>200025</xdr:rowOff>
    </xdr:from>
    <xdr:to>
      <xdr:col>6</xdr:col>
      <xdr:colOff>542925</xdr:colOff>
      <xdr:row>73</xdr:row>
      <xdr:rowOff>38100</xdr:rowOff>
    </xdr:to>
    <xdr:graphicFrame>
      <xdr:nvGraphicFramePr>
        <xdr:cNvPr id="1" name="Chart 22"/>
        <xdr:cNvGraphicFramePr/>
      </xdr:nvGraphicFramePr>
      <xdr:xfrm>
        <a:off x="123825" y="13963650"/>
        <a:ext cx="8448675" cy="4410075"/>
      </xdr:xfrm>
      <a:graphic>
        <a:graphicData uri="http://schemas.openxmlformats.org/drawingml/2006/chart">
          <c:chart xmlns:c="http://schemas.openxmlformats.org/drawingml/2006/chart" r:id="rId1"/>
        </a:graphicData>
      </a:graphic>
    </xdr:graphicFrame>
    <xdr:clientData/>
  </xdr:twoCellAnchor>
  <xdr:twoCellAnchor>
    <xdr:from>
      <xdr:col>10</xdr:col>
      <xdr:colOff>476250</xdr:colOff>
      <xdr:row>24</xdr:row>
      <xdr:rowOff>114300</xdr:rowOff>
    </xdr:from>
    <xdr:to>
      <xdr:col>13</xdr:col>
      <xdr:colOff>590550</xdr:colOff>
      <xdr:row>39</xdr:row>
      <xdr:rowOff>0</xdr:rowOff>
    </xdr:to>
    <xdr:sp>
      <xdr:nvSpPr>
        <xdr:cNvPr id="2" name="Text Box 224"/>
        <xdr:cNvSpPr txBox="1">
          <a:spLocks noChangeArrowheads="1"/>
        </xdr:cNvSpPr>
      </xdr:nvSpPr>
      <xdr:spPr>
        <a:xfrm>
          <a:off x="13306425" y="6962775"/>
          <a:ext cx="4029075" cy="3314700"/>
        </a:xfrm>
        <a:prstGeom prst="rect">
          <a:avLst/>
        </a:prstGeom>
        <a:solidFill>
          <a:srgbClr val="FFFFFF"/>
        </a:solidFill>
        <a:ln w="9525" cmpd="sng">
          <a:noFill/>
        </a:ln>
      </xdr:spPr>
      <xdr:txBody>
        <a:bodyPr vertOverflow="clip" wrap="square" lIns="45720" tIns="36576" rIns="0" bIns="0"/>
        <a:p>
          <a:pPr algn="l">
            <a:defRPr/>
          </a:pPr>
          <a:r>
            <a:rPr lang="en-US" cap="none" sz="1800" b="1" i="0" u="sng" baseline="0">
              <a:solidFill>
                <a:srgbClr val="000000"/>
              </a:solidFill>
              <a:latin typeface="Arial"/>
              <a:ea typeface="Arial"/>
              <a:cs typeface="Arial"/>
            </a:rPr>
            <a:t>Contents:</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Headcount Forecast
</a:t>
          </a:r>
          <a:r>
            <a:rPr lang="en-US" cap="none" sz="1800" b="0" i="0" u="none" baseline="0">
              <a:solidFill>
                <a:srgbClr val="000000"/>
              </a:solidFill>
              <a:latin typeface="Arial"/>
              <a:ea typeface="Arial"/>
              <a:cs typeface="Arial"/>
            </a:rPr>
            <a:t>Facilities - Square Footage Requirement
</a:t>
          </a:r>
          <a:r>
            <a:rPr lang="en-US" cap="none" sz="1800" b="0" i="0" u="none" baseline="0">
              <a:solidFill>
                <a:srgbClr val="000000"/>
              </a:solidFill>
              <a:latin typeface="Arial"/>
              <a:ea typeface="Arial"/>
              <a:cs typeface="Arial"/>
            </a:rPr>
            <a:t>Financial Ratios
</a:t>
          </a:r>
          <a:r>
            <a:rPr lang="en-US" cap="none" sz="1800" b="0" i="0" u="none" baseline="0">
              <a:solidFill>
                <a:srgbClr val="000000"/>
              </a:solidFill>
              <a:latin typeface="Arial"/>
              <a:ea typeface="Arial"/>
              <a:cs typeface="Arial"/>
            </a:rPr>
            <a:t>Stock Distribution
</a:t>
          </a:r>
          <a:r>
            <a:rPr lang="en-US" cap="none" sz="1800" b="0" i="0" u="none" baseline="0">
              <a:solidFill>
                <a:srgbClr val="000000"/>
              </a:solidFill>
              <a:latin typeface="Arial"/>
              <a:ea typeface="Arial"/>
              <a:cs typeface="Arial"/>
            </a:rPr>
            <a:t>IPO Due Diligence Checklist
</a:t>
          </a:r>
          <a:r>
            <a:rPr lang="en-US" cap="none" sz="1800" b="0" i="0" u="none" baseline="0">
              <a:solidFill>
                <a:srgbClr val="000000"/>
              </a:solidFill>
              <a:latin typeface="Arial"/>
              <a:ea typeface="Arial"/>
              <a:cs typeface="Arial"/>
            </a:rPr>
            <a:t>Insurance - Checklist
</a:t>
          </a:r>
        </a:p>
      </xdr:txBody>
    </xdr:sp>
    <xdr:clientData/>
  </xdr:twoCellAnchor>
  <xdr:twoCellAnchor>
    <xdr:from>
      <xdr:col>9</xdr:col>
      <xdr:colOff>609600</xdr:colOff>
      <xdr:row>315</xdr:row>
      <xdr:rowOff>95250</xdr:rowOff>
    </xdr:from>
    <xdr:to>
      <xdr:col>13</xdr:col>
      <xdr:colOff>990600</xdr:colOff>
      <xdr:row>355</xdr:row>
      <xdr:rowOff>19050</xdr:rowOff>
    </xdr:to>
    <xdr:sp>
      <xdr:nvSpPr>
        <xdr:cNvPr id="3" name="Text Box 252"/>
        <xdr:cNvSpPr txBox="1">
          <a:spLocks noChangeArrowheads="1"/>
        </xdr:cNvSpPr>
      </xdr:nvSpPr>
      <xdr:spPr>
        <a:xfrm>
          <a:off x="12144375" y="75209400"/>
          <a:ext cx="5591175" cy="71342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IPO Due Diligence Checklist</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If a start-up company intends on going public at some time in the future, or intends on being acquired, they should be keeping a separate filing system of copies of the documents on this list.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When the corporate counsel, CPA firm and the investment bankers call for the organization meeting, they will present the company management with a list of the documents they need to review in order to prepare the company for the IPO.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If the company does not have these documents at their fingertips,  they will spend many weeks scrambling for this information, as typically much of it has been lost or never kept originally.  In some cases, IPO's have been stopped due to the lack of documentation or to the poor attention to maintaining control over the issues on this list.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Give this list to the Corporate Secretary and the Accountant (the one who pays the bills) and ask them to watch for any of these documents, make a copy of them, and put them into a carefully controlled filing system for future use.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When the attorneys and CPA's present their document lists to management, management can hand over the file crates and go home for dinner at 6:00 pm, knowing they have fulfilled the supporting documentation requirements for an Initial Public Offering.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Diligent use of this checklist and of this operating plan will save weeks of frustration later and insure a successful IPO.</a:t>
          </a:r>
        </a:p>
      </xdr:txBody>
    </xdr:sp>
    <xdr:clientData/>
  </xdr:twoCellAnchor>
  <xdr:twoCellAnchor>
    <xdr:from>
      <xdr:col>0</xdr:col>
      <xdr:colOff>95250</xdr:colOff>
      <xdr:row>272</xdr:row>
      <xdr:rowOff>114300</xdr:rowOff>
    </xdr:from>
    <xdr:to>
      <xdr:col>13</xdr:col>
      <xdr:colOff>971550</xdr:colOff>
      <xdr:row>297</xdr:row>
      <xdr:rowOff>152400</xdr:rowOff>
    </xdr:to>
    <xdr:graphicFrame>
      <xdr:nvGraphicFramePr>
        <xdr:cNvPr id="4" name="Chart 254"/>
        <xdr:cNvGraphicFramePr/>
      </xdr:nvGraphicFramePr>
      <xdr:xfrm>
        <a:off x="95250" y="64855725"/>
        <a:ext cx="17621250" cy="5810250"/>
      </xdr:xfrm>
      <a:graphic>
        <a:graphicData uri="http://schemas.openxmlformats.org/drawingml/2006/chart">
          <c:chart xmlns:c="http://schemas.openxmlformats.org/drawingml/2006/chart" r:id="rId2"/>
        </a:graphicData>
      </a:graphic>
    </xdr:graphicFrame>
    <xdr:clientData/>
  </xdr:twoCellAnchor>
  <xdr:twoCellAnchor>
    <xdr:from>
      <xdr:col>3</xdr:col>
      <xdr:colOff>723900</xdr:colOff>
      <xdr:row>269</xdr:row>
      <xdr:rowOff>19050</xdr:rowOff>
    </xdr:from>
    <xdr:to>
      <xdr:col>3</xdr:col>
      <xdr:colOff>723900</xdr:colOff>
      <xdr:row>270</xdr:row>
      <xdr:rowOff>209550</xdr:rowOff>
    </xdr:to>
    <xdr:sp>
      <xdr:nvSpPr>
        <xdr:cNvPr id="5" name="Line 264"/>
        <xdr:cNvSpPr>
          <a:spLocks/>
        </xdr:cNvSpPr>
      </xdr:nvSpPr>
      <xdr:spPr>
        <a:xfrm>
          <a:off x="5324475" y="640746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268</xdr:row>
      <xdr:rowOff>57150</xdr:rowOff>
    </xdr:from>
    <xdr:to>
      <xdr:col>5</xdr:col>
      <xdr:colOff>438150</xdr:colOff>
      <xdr:row>270</xdr:row>
      <xdr:rowOff>209550</xdr:rowOff>
    </xdr:to>
    <xdr:sp>
      <xdr:nvSpPr>
        <xdr:cNvPr id="6" name="Line 265"/>
        <xdr:cNvSpPr>
          <a:spLocks/>
        </xdr:cNvSpPr>
      </xdr:nvSpPr>
      <xdr:spPr>
        <a:xfrm flipV="1">
          <a:off x="5324475" y="63884175"/>
          <a:ext cx="20002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269</xdr:row>
      <xdr:rowOff>57150</xdr:rowOff>
    </xdr:from>
    <xdr:to>
      <xdr:col>6</xdr:col>
      <xdr:colOff>895350</xdr:colOff>
      <xdr:row>271</xdr:row>
      <xdr:rowOff>19050</xdr:rowOff>
    </xdr:to>
    <xdr:sp>
      <xdr:nvSpPr>
        <xdr:cNvPr id="7" name="Line 266"/>
        <xdr:cNvSpPr>
          <a:spLocks/>
        </xdr:cNvSpPr>
      </xdr:nvSpPr>
      <xdr:spPr>
        <a:xfrm>
          <a:off x="8924925" y="641127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268</xdr:row>
      <xdr:rowOff>95250</xdr:rowOff>
    </xdr:from>
    <xdr:to>
      <xdr:col>8</xdr:col>
      <xdr:colOff>314325</xdr:colOff>
      <xdr:row>271</xdr:row>
      <xdr:rowOff>19050</xdr:rowOff>
    </xdr:to>
    <xdr:sp>
      <xdr:nvSpPr>
        <xdr:cNvPr id="8" name="Line 267"/>
        <xdr:cNvSpPr>
          <a:spLocks/>
        </xdr:cNvSpPr>
      </xdr:nvSpPr>
      <xdr:spPr>
        <a:xfrm flipV="1">
          <a:off x="8924925" y="63922275"/>
          <a:ext cx="170497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269</xdr:row>
      <xdr:rowOff>0</xdr:rowOff>
    </xdr:from>
    <xdr:to>
      <xdr:col>9</xdr:col>
      <xdr:colOff>1028700</xdr:colOff>
      <xdr:row>270</xdr:row>
      <xdr:rowOff>190500</xdr:rowOff>
    </xdr:to>
    <xdr:sp>
      <xdr:nvSpPr>
        <xdr:cNvPr id="9" name="Line 268"/>
        <xdr:cNvSpPr>
          <a:spLocks/>
        </xdr:cNvSpPr>
      </xdr:nvSpPr>
      <xdr:spPr>
        <a:xfrm>
          <a:off x="12563475" y="640556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268</xdr:row>
      <xdr:rowOff>38100</xdr:rowOff>
    </xdr:from>
    <xdr:to>
      <xdr:col>11</xdr:col>
      <xdr:colOff>247650</xdr:colOff>
      <xdr:row>270</xdr:row>
      <xdr:rowOff>190500</xdr:rowOff>
    </xdr:to>
    <xdr:sp>
      <xdr:nvSpPr>
        <xdr:cNvPr id="10" name="Line 269"/>
        <xdr:cNvSpPr>
          <a:spLocks/>
        </xdr:cNvSpPr>
      </xdr:nvSpPr>
      <xdr:spPr>
        <a:xfrm flipV="1">
          <a:off x="12563475" y="63865125"/>
          <a:ext cx="18669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1085850</xdr:colOff>
      <xdr:row>53</xdr:row>
      <xdr:rowOff>190500</xdr:rowOff>
    </xdr:from>
    <xdr:to>
      <xdr:col>13</xdr:col>
      <xdr:colOff>819150</xdr:colOff>
      <xdr:row>73</xdr:row>
      <xdr:rowOff>28575</xdr:rowOff>
    </xdr:to>
    <xdr:graphicFrame>
      <xdr:nvGraphicFramePr>
        <xdr:cNvPr id="11" name="Chart 22"/>
        <xdr:cNvGraphicFramePr/>
      </xdr:nvGraphicFramePr>
      <xdr:xfrm>
        <a:off x="9115425" y="13954125"/>
        <a:ext cx="8448675" cy="44100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33lt\c-drive\A_SVCG\Corporate%20Planning\Sample%20Systems%20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y%20Documents\SVCG\GetFinancials\Example.com\Ex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atement Model"/>
      <sheetName val="Equipment Needs"/>
      <sheetName val="Small Cover"/>
      <sheetName val="Options"/>
      <sheetName val="5-year Proj"/>
      <sheetName val="Lead Sheets"/>
      <sheetName val="Issues"/>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Sales-COS"/>
      <sheetName val="Headcount"/>
      <sheetName val="Expenses"/>
      <sheetName val="Equipment"/>
      <sheetName val="Financials"/>
      <sheetName val="5-Year"/>
      <sheetName val="Metr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n@theinterimcontroller.com" TargetMode="External" /><Relationship Id="rId2" Type="http://schemas.openxmlformats.org/officeDocument/2006/relationships/hyperlink" Target="mailto:BomarBrain@gmail.com"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70" zoomScaleNormal="70" zoomScalePageLayoutView="0" workbookViewId="0" topLeftCell="A1">
      <selection activeCell="E20" sqref="E19:E20"/>
    </sheetView>
  </sheetViews>
  <sheetFormatPr defaultColWidth="8.72265625" defaultRowHeight="18"/>
  <cols>
    <col min="1" max="2" width="4.6328125" style="0" customWidth="1"/>
  </cols>
  <sheetData>
    <row r="1" spans="1:16" ht="34.5">
      <c r="A1" s="543" t="s">
        <v>465</v>
      </c>
      <c r="P1" s="262" t="s">
        <v>580</v>
      </c>
    </row>
    <row r="2" ht="59.25">
      <c r="A2" s="542" t="s">
        <v>463</v>
      </c>
    </row>
    <row r="3" spans="1:16" ht="27" customHeight="1" thickBot="1">
      <c r="A3" s="540" t="s">
        <v>466</v>
      </c>
      <c r="B3" s="540"/>
      <c r="C3" s="541"/>
      <c r="D3" s="541"/>
      <c r="E3" s="541"/>
      <c r="F3" s="169"/>
      <c r="G3" s="169"/>
      <c r="H3" s="169"/>
      <c r="I3" s="169"/>
      <c r="J3" s="169"/>
      <c r="K3" s="169"/>
      <c r="L3" s="169"/>
      <c r="M3" s="169"/>
      <c r="N3" s="169"/>
      <c r="O3" s="169"/>
      <c r="P3" s="169"/>
    </row>
    <row r="5" spans="1:3" ht="18">
      <c r="A5" s="7">
        <v>1</v>
      </c>
      <c r="B5" s="7"/>
      <c r="C5" t="s">
        <v>458</v>
      </c>
    </row>
    <row r="6" spans="1:3" ht="18">
      <c r="A6" s="7"/>
      <c r="B6" s="7"/>
      <c r="C6" t="s">
        <v>459</v>
      </c>
    </row>
    <row r="7" spans="1:3" ht="18">
      <c r="A7" s="7">
        <v>2</v>
      </c>
      <c r="B7" s="7"/>
      <c r="C7" t="s">
        <v>477</v>
      </c>
    </row>
    <row r="8" spans="1:3" ht="18">
      <c r="A8" s="7">
        <v>3</v>
      </c>
      <c r="B8" s="7"/>
      <c r="C8" s="321" t="s">
        <v>457</v>
      </c>
    </row>
    <row r="9" spans="1:3" ht="18">
      <c r="A9" s="7">
        <v>4</v>
      </c>
      <c r="B9" s="7"/>
      <c r="C9" t="s">
        <v>470</v>
      </c>
    </row>
    <row r="10" spans="1:3" ht="18">
      <c r="A10" s="7"/>
      <c r="B10" s="7"/>
      <c r="C10" s="18" t="s">
        <v>511</v>
      </c>
    </row>
    <row r="11" spans="1:3" ht="18">
      <c r="A11" s="7">
        <v>5</v>
      </c>
      <c r="B11" s="7"/>
      <c r="C11" t="s">
        <v>468</v>
      </c>
    </row>
    <row r="12" spans="1:3" ht="18">
      <c r="A12" s="7">
        <v>6</v>
      </c>
      <c r="B12" s="7"/>
      <c r="C12" s="18" t="s">
        <v>554</v>
      </c>
    </row>
    <row r="13" spans="1:3" ht="18">
      <c r="A13" s="7"/>
      <c r="B13" s="7"/>
      <c r="C13" t="s">
        <v>447</v>
      </c>
    </row>
    <row r="14" spans="1:3" ht="18">
      <c r="A14" s="7">
        <v>7</v>
      </c>
      <c r="B14" s="7"/>
      <c r="C14" t="s">
        <v>471</v>
      </c>
    </row>
    <row r="15" spans="1:3" ht="18">
      <c r="A15" s="7">
        <v>8</v>
      </c>
      <c r="B15" s="7"/>
      <c r="C15" t="s">
        <v>448</v>
      </c>
    </row>
    <row r="16" spans="1:3" ht="18">
      <c r="A16" s="7">
        <v>9</v>
      </c>
      <c r="B16" s="7"/>
      <c r="C16" t="s">
        <v>472</v>
      </c>
    </row>
    <row r="17" spans="1:3" ht="18">
      <c r="A17" s="7"/>
      <c r="B17" s="7"/>
      <c r="C17" t="s">
        <v>467</v>
      </c>
    </row>
    <row r="18" spans="1:3" ht="18">
      <c r="A18" s="7">
        <v>10</v>
      </c>
      <c r="B18" s="7"/>
      <c r="C18" t="s">
        <v>469</v>
      </c>
    </row>
    <row r="19" spans="1:3" ht="18">
      <c r="A19" s="7">
        <v>11</v>
      </c>
      <c r="B19" s="7"/>
      <c r="C19" t="s">
        <v>456</v>
      </c>
    </row>
    <row r="20" spans="1:3" ht="18">
      <c r="A20" s="7"/>
      <c r="B20" s="7"/>
      <c r="C20" t="s">
        <v>473</v>
      </c>
    </row>
    <row r="21" spans="1:3" ht="18">
      <c r="A21" s="7">
        <v>12</v>
      </c>
      <c r="B21" s="7"/>
      <c r="C21" t="s">
        <v>451</v>
      </c>
    </row>
    <row r="22" spans="1:3" ht="18">
      <c r="A22" s="7"/>
      <c r="B22" s="7"/>
      <c r="C22" s="35" t="s">
        <v>452</v>
      </c>
    </row>
    <row r="23" spans="1:3" ht="18">
      <c r="A23" s="7">
        <v>13</v>
      </c>
      <c r="B23" s="7"/>
      <c r="C23" t="s">
        <v>453</v>
      </c>
    </row>
    <row r="24" spans="1:3" ht="18">
      <c r="A24" s="7">
        <v>14</v>
      </c>
      <c r="B24" s="7"/>
      <c r="C24" t="s">
        <v>454</v>
      </c>
    </row>
    <row r="25" spans="1:3" ht="18">
      <c r="A25" s="7"/>
      <c r="B25" s="7"/>
      <c r="C25" t="s">
        <v>449</v>
      </c>
    </row>
    <row r="26" spans="1:3" ht="18">
      <c r="A26" s="7">
        <v>15</v>
      </c>
      <c r="B26" s="7"/>
      <c r="C26" t="s">
        <v>450</v>
      </c>
    </row>
    <row r="27" spans="1:3" ht="18">
      <c r="A27" s="7">
        <v>16</v>
      </c>
      <c r="B27" s="7"/>
      <c r="C27" t="s">
        <v>455</v>
      </c>
    </row>
    <row r="28" spans="1:3" ht="18">
      <c r="A28" s="7">
        <v>17</v>
      </c>
      <c r="B28" s="7"/>
      <c r="C28" s="35" t="s">
        <v>474</v>
      </c>
    </row>
    <row r="29" spans="1:3" ht="18">
      <c r="A29" s="7">
        <v>18</v>
      </c>
      <c r="B29" s="7"/>
      <c r="C29" s="35" t="s">
        <v>460</v>
      </c>
    </row>
    <row r="30" spans="1:3" ht="18">
      <c r="A30" s="7">
        <v>19</v>
      </c>
      <c r="B30" s="7"/>
      <c r="C30" s="35" t="s">
        <v>461</v>
      </c>
    </row>
    <row r="31" spans="1:3" ht="18">
      <c r="A31" s="7">
        <v>20</v>
      </c>
      <c r="B31" s="7"/>
      <c r="C31" s="35" t="s">
        <v>462</v>
      </c>
    </row>
    <row r="32" spans="1:3" ht="18">
      <c r="A32" s="7">
        <v>21</v>
      </c>
      <c r="B32" s="7"/>
      <c r="C32" s="35" t="s">
        <v>510</v>
      </c>
    </row>
    <row r="33" spans="1:7" ht="20.25">
      <c r="A33" s="7"/>
      <c r="B33" s="7"/>
      <c r="C33" s="655" t="s">
        <v>555</v>
      </c>
      <c r="G33" s="681" t="s">
        <v>581</v>
      </c>
    </row>
    <row r="34" spans="1:2" ht="18">
      <c r="A34" s="7"/>
      <c r="B34" s="7"/>
    </row>
    <row r="35" spans="1:4" ht="18">
      <c r="A35" s="303" t="s">
        <v>518</v>
      </c>
      <c r="B35" s="7"/>
      <c r="D35" s="18" t="s">
        <v>519</v>
      </c>
    </row>
    <row r="36" spans="2:4" ht="18">
      <c r="B36" s="7"/>
      <c r="D36" s="18" t="s">
        <v>520</v>
      </c>
    </row>
    <row r="37" spans="1:4" ht="18">
      <c r="A37" s="7"/>
      <c r="B37" s="7"/>
      <c r="D37" s="18" t="s">
        <v>521</v>
      </c>
    </row>
    <row r="38" ht="18">
      <c r="D38" s="18" t="s">
        <v>522</v>
      </c>
    </row>
  </sheetData>
  <sheetProtection/>
  <hyperlinks>
    <hyperlink ref="C33" r:id="rId1" display="ron@theinterimcontroller.com"/>
    <hyperlink ref="G33" r:id="rId2" display="BomarBrain@gmail.com"/>
  </hyperlinks>
  <printOptions/>
  <pageMargins left="0.75" right="0.75" top="0.75" bottom="0.75" header="0.5" footer="0.5"/>
  <pageSetup horizontalDpi="600" verticalDpi="600" orientation="landscape" scale="66" r:id="rId4"/>
  <legacyDrawing r:id="rId3"/>
</worksheet>
</file>

<file path=xl/worksheets/sheet2.xml><?xml version="1.0" encoding="utf-8"?>
<worksheet xmlns="http://schemas.openxmlformats.org/spreadsheetml/2006/main" xmlns:r="http://schemas.openxmlformats.org/officeDocument/2006/relationships">
  <dimension ref="A1:T50"/>
  <sheetViews>
    <sheetView zoomScale="85" zoomScaleNormal="85" zoomScaleSheetLayoutView="75" zoomScalePageLayoutView="0" workbookViewId="0" topLeftCell="A1">
      <selection activeCell="I7" sqref="I7"/>
    </sheetView>
  </sheetViews>
  <sheetFormatPr defaultColWidth="8.72265625" defaultRowHeight="18"/>
  <cols>
    <col min="1" max="1" width="3.453125" style="2" customWidth="1"/>
    <col min="2" max="3" width="8.72265625" style="2" customWidth="1"/>
    <col min="4" max="4" width="8.18359375" style="2" customWidth="1"/>
    <col min="5" max="5" width="8.72265625" style="2" customWidth="1"/>
    <col min="6" max="6" width="5.99609375" style="2" customWidth="1"/>
    <col min="7" max="16384" width="8.72265625" style="2" customWidth="1"/>
  </cols>
  <sheetData>
    <row r="1" spans="1:20" ht="18.75" customHeight="1">
      <c r="A1" s="665" t="s">
        <v>0</v>
      </c>
      <c r="B1" s="666"/>
      <c r="C1" s="666"/>
      <c r="D1" s="666"/>
      <c r="E1" s="666"/>
      <c r="F1" s="666"/>
      <c r="G1" s="666"/>
      <c r="H1" s="666"/>
      <c r="I1" s="666"/>
      <c r="J1" s="3"/>
      <c r="K1" s="3"/>
      <c r="L1" s="3"/>
      <c r="M1" s="3"/>
      <c r="P1"/>
      <c r="Q1"/>
      <c r="R1"/>
      <c r="S1"/>
      <c r="T1"/>
    </row>
    <row r="2" spans="1:20" ht="18.75" customHeight="1">
      <c r="A2" s="8"/>
      <c r="B2" s="420"/>
      <c r="C2" s="420"/>
      <c r="D2" s="420"/>
      <c r="E2" s="420"/>
      <c r="F2" s="420"/>
      <c r="G2" s="420"/>
      <c r="H2" s="420"/>
      <c r="I2" s="420"/>
      <c r="J2" s="3"/>
      <c r="K2" s="3"/>
      <c r="L2" s="3"/>
      <c r="M2" s="3"/>
      <c r="P2"/>
      <c r="Q2"/>
      <c r="R2"/>
      <c r="S2"/>
      <c r="T2"/>
    </row>
    <row r="3" spans="1:20" ht="18.75" customHeight="1">
      <c r="A3" s="419"/>
      <c r="B3" s="420"/>
      <c r="C3" s="420"/>
      <c r="D3" s="420"/>
      <c r="E3" s="420"/>
      <c r="F3" s="420"/>
      <c r="G3" s="420"/>
      <c r="H3" s="420"/>
      <c r="I3" s="420"/>
      <c r="J3" s="3"/>
      <c r="K3" s="3"/>
      <c r="L3" s="3"/>
      <c r="M3" s="3"/>
      <c r="P3"/>
      <c r="Q3"/>
      <c r="R3"/>
      <c r="S3"/>
      <c r="T3"/>
    </row>
    <row r="4" spans="1:20" ht="18.75" customHeight="1">
      <c r="A4" s="419"/>
      <c r="B4" s="420"/>
      <c r="C4" s="420"/>
      <c r="D4" s="420"/>
      <c r="E4" s="420"/>
      <c r="F4" s="420"/>
      <c r="G4" s="420"/>
      <c r="H4" s="420"/>
      <c r="I4" s="420"/>
      <c r="J4" s="3"/>
      <c r="K4" s="3"/>
      <c r="L4" s="3"/>
      <c r="M4" s="3"/>
      <c r="P4"/>
      <c r="Q4"/>
      <c r="R4"/>
      <c r="S4"/>
      <c r="T4"/>
    </row>
    <row r="5" spans="2:20" ht="18">
      <c r="B5" s="3"/>
      <c r="C5" s="3"/>
      <c r="D5" s="3"/>
      <c r="E5" s="3"/>
      <c r="F5" s="3"/>
      <c r="G5" s="3"/>
      <c r="I5" s="4"/>
      <c r="J5" s="3"/>
      <c r="K5" s="3"/>
      <c r="L5" s="3"/>
      <c r="M5" s="3"/>
      <c r="P5"/>
      <c r="Q5"/>
      <c r="R5"/>
      <c r="S5"/>
      <c r="T5"/>
    </row>
    <row r="6" spans="2:20" ht="18">
      <c r="B6" s="3"/>
      <c r="C6" s="3"/>
      <c r="D6" s="3"/>
      <c r="E6" s="3"/>
      <c r="F6" s="3"/>
      <c r="G6" s="3"/>
      <c r="H6" s="3"/>
      <c r="I6" s="5"/>
      <c r="J6" s="3"/>
      <c r="K6" s="3"/>
      <c r="L6" s="3"/>
      <c r="M6" s="3"/>
      <c r="P6"/>
      <c r="Q6"/>
      <c r="R6"/>
      <c r="S6"/>
      <c r="T6"/>
    </row>
    <row r="7" spans="2:20" ht="18">
      <c r="B7" s="3"/>
      <c r="C7" s="3"/>
      <c r="D7" s="3"/>
      <c r="E7" s="3"/>
      <c r="F7" s="3"/>
      <c r="G7" s="3"/>
      <c r="H7" s="3"/>
      <c r="I7" s="5"/>
      <c r="J7" s="3"/>
      <c r="K7" s="3"/>
      <c r="L7" s="3"/>
      <c r="M7" s="3"/>
      <c r="P7"/>
      <c r="Q7"/>
      <c r="R7"/>
      <c r="S7"/>
      <c r="T7"/>
    </row>
    <row r="8" spans="2:20" ht="18">
      <c r="B8" s="3"/>
      <c r="C8" s="3"/>
      <c r="D8" s="3"/>
      <c r="E8" s="3"/>
      <c r="F8" s="3"/>
      <c r="G8" s="3"/>
      <c r="H8" s="3"/>
      <c r="I8" s="5"/>
      <c r="J8" s="3"/>
      <c r="K8" s="3"/>
      <c r="L8" s="3"/>
      <c r="M8" s="3"/>
      <c r="P8"/>
      <c r="Q8"/>
      <c r="R8"/>
      <c r="S8"/>
      <c r="T8"/>
    </row>
    <row r="9" spans="2:20" ht="18">
      <c r="B9" s="3"/>
      <c r="C9" s="3"/>
      <c r="D9" s="3"/>
      <c r="E9" s="3"/>
      <c r="F9" s="3"/>
      <c r="G9" s="3"/>
      <c r="H9" s="3"/>
      <c r="I9" s="5"/>
      <c r="J9" s="3"/>
      <c r="K9" s="3"/>
      <c r="L9" s="3"/>
      <c r="M9" s="3"/>
      <c r="P9"/>
      <c r="Q9"/>
      <c r="R9"/>
      <c r="S9"/>
      <c r="T9"/>
    </row>
    <row r="10" spans="2:20" ht="18">
      <c r="B10" s="3"/>
      <c r="C10" s="3"/>
      <c r="D10" s="3"/>
      <c r="E10" s="3"/>
      <c r="F10"/>
      <c r="G10" s="3"/>
      <c r="H10" s="6"/>
      <c r="I10"/>
      <c r="J10" s="3"/>
      <c r="K10" s="3"/>
      <c r="L10" s="3"/>
      <c r="M10" s="3"/>
      <c r="P10"/>
      <c r="Q10"/>
      <c r="R10"/>
      <c r="S10"/>
      <c r="T10"/>
    </row>
    <row r="11" spans="2:20" ht="18">
      <c r="B11" s="3"/>
      <c r="C11" s="3"/>
      <c r="D11" s="3"/>
      <c r="E11" s="3"/>
      <c r="F11" s="3"/>
      <c r="G11" s="3"/>
      <c r="H11" s="6"/>
      <c r="I11"/>
      <c r="J11" s="3"/>
      <c r="K11" s="3"/>
      <c r="L11" s="3"/>
      <c r="M11" s="3"/>
      <c r="P11"/>
      <c r="Q11"/>
      <c r="R11"/>
      <c r="S11"/>
      <c r="T11"/>
    </row>
    <row r="12" spans="8:20" ht="18">
      <c r="H12" s="6"/>
      <c r="I12" s="303"/>
      <c r="J12" s="7"/>
      <c r="K12" s="7"/>
      <c r="L12" s="7"/>
      <c r="M12" s="8"/>
      <c r="N12" s="8"/>
      <c r="O12"/>
      <c r="P12"/>
      <c r="Q12"/>
      <c r="R12"/>
      <c r="S12"/>
      <c r="T12"/>
    </row>
    <row r="13" spans="1:20" ht="45">
      <c r="A13" s="664" t="s">
        <v>560</v>
      </c>
      <c r="B13" s="664"/>
      <c r="C13" s="664"/>
      <c r="D13" s="664"/>
      <c r="E13" s="664"/>
      <c r="F13" s="664"/>
      <c r="G13" s="664"/>
      <c r="H13" s="664"/>
      <c r="I13" s="664"/>
      <c r="J13" s="9"/>
      <c r="K13" s="9"/>
      <c r="L13" s="9"/>
      <c r="M13" s="3"/>
      <c r="N13" s="3"/>
      <c r="O13"/>
      <c r="P13"/>
      <c r="Q13"/>
      <c r="R13"/>
      <c r="S13"/>
      <c r="T13"/>
    </row>
    <row r="14" spans="2:20" ht="18">
      <c r="B14" s="3"/>
      <c r="C14" s="3"/>
      <c r="D14" s="3"/>
      <c r="E14" s="3"/>
      <c r="F14" s="3"/>
      <c r="G14" s="3"/>
      <c r="H14" s="6"/>
      <c r="I14" s="18"/>
      <c r="J14" s="3"/>
      <c r="K14" s="3"/>
      <c r="L14" s="3"/>
      <c r="M14" s="3"/>
      <c r="P14"/>
      <c r="Q14"/>
      <c r="R14"/>
      <c r="S14"/>
      <c r="T14"/>
    </row>
    <row r="15" spans="1:20" ht="27.75">
      <c r="A15" s="10" t="s">
        <v>134</v>
      </c>
      <c r="B15" s="10"/>
      <c r="C15" s="10"/>
      <c r="D15" s="10"/>
      <c r="E15" s="10"/>
      <c r="F15" s="10"/>
      <c r="G15" s="10"/>
      <c r="H15" s="10"/>
      <c r="I15" s="10"/>
      <c r="J15"/>
      <c r="K15"/>
      <c r="L15"/>
      <c r="M15" s="11"/>
      <c r="N15" s="11"/>
      <c r="O15"/>
      <c r="P15"/>
      <c r="Q15"/>
      <c r="R15"/>
      <c r="S15"/>
      <c r="T15"/>
    </row>
    <row r="16" spans="1:20" ht="23.25">
      <c r="A16" s="493" t="s">
        <v>409</v>
      </c>
      <c r="B16" s="12"/>
      <c r="C16" s="12"/>
      <c r="D16" s="12"/>
      <c r="E16" s="12"/>
      <c r="F16" s="12"/>
      <c r="G16" s="12"/>
      <c r="H16" s="12"/>
      <c r="I16" s="12"/>
      <c r="J16"/>
      <c r="K16"/>
      <c r="L16"/>
      <c r="M16" s="13"/>
      <c r="O16"/>
      <c r="P16"/>
      <c r="Q16"/>
      <c r="R16"/>
      <c r="S16"/>
      <c r="T16"/>
    </row>
    <row r="17" spans="1:20" ht="20.25">
      <c r="A17" s="493" t="s">
        <v>517</v>
      </c>
      <c r="B17" s="14"/>
      <c r="C17" s="14"/>
      <c r="D17" s="14"/>
      <c r="E17" s="14"/>
      <c r="F17" s="14"/>
      <c r="G17" s="14"/>
      <c r="H17" s="14"/>
      <c r="I17" s="14"/>
      <c r="M17" s="15"/>
      <c r="O17"/>
      <c r="P17"/>
      <c r="Q17"/>
      <c r="R17"/>
      <c r="S17"/>
      <c r="T17"/>
    </row>
    <row r="18" spans="1:20" ht="10.5" customHeight="1">
      <c r="A18" s="369">
        <f ca="1">TODAY()</f>
        <v>45062</v>
      </c>
      <c r="B18" s="16"/>
      <c r="C18" s="16"/>
      <c r="D18" s="16"/>
      <c r="E18" s="16"/>
      <c r="F18" s="16"/>
      <c r="G18" s="16"/>
      <c r="H18" s="16"/>
      <c r="I18" s="16"/>
      <c r="M18" s="13"/>
      <c r="O18"/>
      <c r="P18"/>
      <c r="Q18"/>
      <c r="R18"/>
      <c r="S18"/>
      <c r="T18"/>
    </row>
    <row r="19" spans="1:20" ht="18">
      <c r="A19" s="668" t="s">
        <v>430</v>
      </c>
      <c r="B19" s="668"/>
      <c r="C19" s="668"/>
      <c r="D19" s="668"/>
      <c r="E19" s="668"/>
      <c r="F19" s="668"/>
      <c r="G19" s="668"/>
      <c r="H19" s="668"/>
      <c r="I19" s="668"/>
      <c r="M19"/>
      <c r="N19"/>
      <c r="O19"/>
      <c r="P19"/>
      <c r="Q19"/>
      <c r="R19"/>
      <c r="S19"/>
      <c r="T19"/>
    </row>
    <row r="20" spans="1:20" ht="18">
      <c r="A20" s="668" t="s">
        <v>431</v>
      </c>
      <c r="B20" s="668"/>
      <c r="C20" s="668"/>
      <c r="D20" s="668"/>
      <c r="E20" s="668"/>
      <c r="F20" s="668"/>
      <c r="G20" s="668"/>
      <c r="H20" s="668"/>
      <c r="I20" s="668"/>
      <c r="M20"/>
      <c r="N20"/>
      <c r="O20"/>
      <c r="P20"/>
      <c r="Q20"/>
      <c r="R20"/>
      <c r="S20"/>
      <c r="T20"/>
    </row>
    <row r="21" spans="1:20" ht="18">
      <c r="A21" s="668" t="s">
        <v>432</v>
      </c>
      <c r="B21" s="668"/>
      <c r="C21" s="668"/>
      <c r="D21" s="668"/>
      <c r="E21" s="668"/>
      <c r="F21" s="668"/>
      <c r="G21" s="668"/>
      <c r="H21" s="668"/>
      <c r="I21" s="668"/>
      <c r="M21"/>
      <c r="N21"/>
      <c r="O21"/>
      <c r="P21"/>
      <c r="Q21"/>
      <c r="R21"/>
      <c r="S21"/>
      <c r="T21"/>
    </row>
    <row r="22" spans="1:20" ht="18">
      <c r="A22" s="668" t="s">
        <v>433</v>
      </c>
      <c r="B22" s="668"/>
      <c r="C22" s="668"/>
      <c r="D22" s="668"/>
      <c r="E22" s="668"/>
      <c r="F22" s="668"/>
      <c r="G22" s="668"/>
      <c r="H22" s="668"/>
      <c r="I22" s="668"/>
      <c r="M22"/>
      <c r="N22"/>
      <c r="O22"/>
      <c r="P22"/>
      <c r="Q22"/>
      <c r="R22"/>
      <c r="S22"/>
      <c r="T22"/>
    </row>
    <row r="23" spans="6:20" ht="18">
      <c r="F23" s="17"/>
      <c r="G23"/>
      <c r="M23"/>
      <c r="N23"/>
      <c r="O23"/>
      <c r="P23"/>
      <c r="Q23"/>
      <c r="R23"/>
      <c r="S23"/>
      <c r="T23"/>
    </row>
    <row r="24" spans="7:20" ht="18">
      <c r="G24"/>
      <c r="M24"/>
      <c r="N24"/>
      <c r="O24"/>
      <c r="P24"/>
      <c r="Q24"/>
      <c r="R24"/>
      <c r="S24"/>
      <c r="T24"/>
    </row>
    <row r="25" spans="7:20" ht="18">
      <c r="G25"/>
      <c r="M25"/>
      <c r="N25"/>
      <c r="O25"/>
      <c r="P25"/>
      <c r="Q25"/>
      <c r="R25"/>
      <c r="S25"/>
      <c r="T25"/>
    </row>
    <row r="26" spans="7:20" ht="22.5" customHeight="1">
      <c r="G26"/>
      <c r="M26"/>
      <c r="N26"/>
      <c r="O26"/>
      <c r="P26"/>
      <c r="Q26"/>
      <c r="R26"/>
      <c r="S26"/>
      <c r="T26"/>
    </row>
    <row r="27" spans="7:20" ht="18">
      <c r="G27"/>
      <c r="M27"/>
      <c r="N27"/>
      <c r="O27"/>
      <c r="P27"/>
      <c r="Q27"/>
      <c r="R27"/>
      <c r="S27"/>
      <c r="T27"/>
    </row>
    <row r="28" spans="7:20" ht="18">
      <c r="G28"/>
      <c r="M28"/>
      <c r="N28"/>
      <c r="O28"/>
      <c r="P28"/>
      <c r="Q28"/>
      <c r="R28"/>
      <c r="S28"/>
      <c r="T28"/>
    </row>
    <row r="29" spans="7:20" ht="18">
      <c r="G29"/>
      <c r="M29"/>
      <c r="N29"/>
      <c r="O29"/>
      <c r="P29"/>
      <c r="Q29"/>
      <c r="R29"/>
      <c r="S29"/>
      <c r="T29"/>
    </row>
    <row r="30" spans="7:20" ht="18">
      <c r="G30"/>
      <c r="M30"/>
      <c r="N30"/>
      <c r="P30"/>
      <c r="Q30"/>
      <c r="R30"/>
      <c r="S30"/>
      <c r="T30"/>
    </row>
    <row r="31" spans="7:20" ht="18">
      <c r="G31"/>
      <c r="M31"/>
      <c r="N31"/>
      <c r="P31"/>
      <c r="Q31"/>
      <c r="R31"/>
      <c r="S31"/>
      <c r="T31"/>
    </row>
    <row r="32" spans="1:20" ht="18.75" customHeight="1">
      <c r="A32" s="18"/>
      <c r="M32"/>
      <c r="N32"/>
      <c r="P32"/>
      <c r="Q32"/>
      <c r="R32"/>
      <c r="S32"/>
      <c r="T32"/>
    </row>
    <row r="33" spans="11:20" ht="12.75" customHeight="1">
      <c r="K33"/>
      <c r="M33"/>
      <c r="N33"/>
      <c r="P33"/>
      <c r="Q33"/>
      <c r="R33"/>
      <c r="S33"/>
      <c r="T33"/>
    </row>
    <row r="34" spans="13:20" ht="12.75" customHeight="1">
      <c r="M34"/>
      <c r="N34"/>
      <c r="P34"/>
      <c r="Q34"/>
      <c r="R34"/>
      <c r="S34"/>
      <c r="T34"/>
    </row>
    <row r="35" spans="13:20" ht="18">
      <c r="M35"/>
      <c r="N35"/>
      <c r="P35"/>
      <c r="Q35"/>
      <c r="R35"/>
      <c r="S35"/>
      <c r="T35"/>
    </row>
    <row r="36" ht="18"/>
    <row r="37" ht="18"/>
    <row r="38" ht="18"/>
    <row r="39" ht="18"/>
    <row r="40" ht="18"/>
    <row r="41" ht="18">
      <c r="F41" s="667"/>
    </row>
    <row r="42" ht="18">
      <c r="F42" s="667"/>
    </row>
    <row r="43" ht="18">
      <c r="F43" s="667"/>
    </row>
    <row r="44" ht="18">
      <c r="F44" s="667"/>
    </row>
    <row r="45" ht="18">
      <c r="F45" s="667"/>
    </row>
    <row r="46" ht="18">
      <c r="F46" s="667"/>
    </row>
    <row r="47" ht="18">
      <c r="F47" s="667"/>
    </row>
    <row r="48" ht="18"/>
    <row r="49" ht="18"/>
    <row r="50" spans="8:14" ht="18">
      <c r="H50"/>
      <c r="I50"/>
      <c r="J50"/>
      <c r="K50"/>
      <c r="L50"/>
      <c r="M50"/>
      <c r="N50"/>
    </row>
  </sheetData>
  <sheetProtection/>
  <mergeCells count="7">
    <mergeCell ref="A13:I13"/>
    <mergeCell ref="A1:I1"/>
    <mergeCell ref="F41:F47"/>
    <mergeCell ref="A19:I19"/>
    <mergeCell ref="A20:I20"/>
    <mergeCell ref="A21:I21"/>
    <mergeCell ref="A22:I22"/>
  </mergeCells>
  <printOptions/>
  <pageMargins left="0.75" right="0.75" top="1" bottom="1" header="0.5" footer="0.5"/>
  <pageSetup horizontalDpi="300" verticalDpi="300" orientation="landscape" pageOrder="overThenDown" scale="78" r:id="rId4"/>
  <drawing r:id="rId3"/>
  <legacyDrawing r:id="rId2"/>
</worksheet>
</file>

<file path=xl/worksheets/sheet3.xml><?xml version="1.0" encoding="utf-8"?>
<worksheet xmlns="http://schemas.openxmlformats.org/spreadsheetml/2006/main" xmlns:r="http://schemas.openxmlformats.org/officeDocument/2006/relationships">
  <dimension ref="A1:AD54"/>
  <sheetViews>
    <sheetView zoomScale="85" zoomScaleNormal="85" zoomScaleSheetLayoutView="50" zoomScalePageLayoutView="0" workbookViewId="0" topLeftCell="A1">
      <selection activeCell="K5" sqref="K5"/>
    </sheetView>
  </sheetViews>
  <sheetFormatPr defaultColWidth="8.72265625" defaultRowHeight="18"/>
  <cols>
    <col min="1" max="1" width="24.54296875" style="18" customWidth="1"/>
    <col min="2" max="2" width="11.99609375" style="18" customWidth="1"/>
    <col min="3" max="7" width="9.8125" style="18" customWidth="1"/>
    <col min="8" max="12" width="9.99609375" style="18" customWidth="1"/>
    <col min="13" max="14" width="10.18359375" style="18" customWidth="1"/>
    <col min="15" max="15" width="11.6328125" style="18" customWidth="1"/>
    <col min="16" max="16" width="23.72265625" style="18" customWidth="1"/>
    <col min="17" max="17" width="11.6328125" style="18" customWidth="1"/>
    <col min="18" max="27" width="9.6328125" style="18" customWidth="1"/>
    <col min="28" max="29" width="9.99609375" style="18" customWidth="1"/>
    <col min="30" max="30" width="10.6328125" style="18" customWidth="1"/>
    <col min="31" max="16384" width="8.72265625" style="18" customWidth="1"/>
  </cols>
  <sheetData>
    <row r="1" spans="1:30" ht="18">
      <c r="A1" s="24" t="str">
        <f>+Cover!A13</f>
        <v>MyCo</v>
      </c>
      <c r="B1" s="19"/>
      <c r="C1" s="19"/>
      <c r="D1" s="19"/>
      <c r="E1" s="19"/>
      <c r="F1" s="19"/>
      <c r="G1" s="19"/>
      <c r="H1" s="19"/>
      <c r="I1" s="19"/>
      <c r="J1" s="19"/>
      <c r="K1" s="19"/>
      <c r="L1" s="19"/>
      <c r="M1" s="19"/>
      <c r="N1" s="19"/>
      <c r="O1" s="64" t="str">
        <f>Cover!A17</f>
        <v>Draft 1.0</v>
      </c>
      <c r="P1" s="24" t="str">
        <f>+A1</f>
        <v>MyCo</v>
      </c>
      <c r="Q1" s="19"/>
      <c r="R1" s="19"/>
      <c r="S1" s="19"/>
      <c r="T1" s="19"/>
      <c r="U1" s="19"/>
      <c r="V1" s="19"/>
      <c r="W1" s="19"/>
      <c r="X1" s="19"/>
      <c r="Y1" s="19"/>
      <c r="Z1" s="19"/>
      <c r="AA1" s="19"/>
      <c r="AB1" s="19"/>
      <c r="AC1" s="19"/>
      <c r="AD1" s="64" t="str">
        <f>+O1</f>
        <v>Draft 1.0</v>
      </c>
    </row>
    <row r="2" spans="1:30" ht="21" customHeight="1">
      <c r="A2" s="20" t="s">
        <v>421</v>
      </c>
      <c r="B2" s="19"/>
      <c r="C2" s="19"/>
      <c r="D2" s="19"/>
      <c r="E2" s="19"/>
      <c r="F2" s="19"/>
      <c r="G2" s="19"/>
      <c r="H2" s="19"/>
      <c r="I2" s="19"/>
      <c r="J2" s="19"/>
      <c r="K2" s="19"/>
      <c r="L2" s="19"/>
      <c r="M2" s="19"/>
      <c r="N2" s="435"/>
      <c r="O2" s="19"/>
      <c r="P2" s="20" t="str">
        <f>+A2</f>
        <v>HEADCOUNT UNITS AND SALARIES</v>
      </c>
      <c r="Q2" s="19"/>
      <c r="R2" s="19"/>
      <c r="S2" s="19"/>
      <c r="T2" s="19"/>
      <c r="U2" s="19"/>
      <c r="V2" s="19"/>
      <c r="W2" s="19"/>
      <c r="X2" s="19"/>
      <c r="Y2" s="19"/>
      <c r="Z2" s="19"/>
      <c r="AA2" s="19"/>
      <c r="AB2" s="19"/>
      <c r="AC2" s="435"/>
      <c r="AD2" s="19"/>
    </row>
    <row r="3" spans="1:29" ht="18">
      <c r="A3" s="156">
        <v>2022</v>
      </c>
      <c r="D3" s="618"/>
      <c r="E3" s="618"/>
      <c r="F3" s="618"/>
      <c r="G3" s="618"/>
      <c r="H3" s="618"/>
      <c r="I3" s="618"/>
      <c r="J3" s="618"/>
      <c r="K3" s="618"/>
      <c r="L3" s="618"/>
      <c r="M3" s="618"/>
      <c r="N3" s="618"/>
      <c r="P3" s="21">
        <f>IF(A3="Year 1","Year 2",A3+1)</f>
        <v>2023</v>
      </c>
      <c r="R3" s="618"/>
      <c r="S3" s="618"/>
      <c r="T3" s="618"/>
      <c r="U3" s="618"/>
      <c r="V3" s="618"/>
      <c r="W3" s="618"/>
      <c r="X3" s="618"/>
      <c r="Y3" s="618"/>
      <c r="Z3" s="618"/>
      <c r="AA3" s="618"/>
      <c r="AB3" s="618"/>
      <c r="AC3" s="618"/>
    </row>
    <row r="4" spans="2:30" ht="18">
      <c r="B4" s="661" t="s">
        <v>561</v>
      </c>
      <c r="C4" s="37" t="s">
        <v>128</v>
      </c>
      <c r="D4" s="658" t="s">
        <v>556</v>
      </c>
      <c r="E4" s="658" t="str">
        <f>+D4</f>
        <v>Actual</v>
      </c>
      <c r="F4" s="657" t="s">
        <v>557</v>
      </c>
      <c r="G4" s="657" t="s">
        <v>557</v>
      </c>
      <c r="H4" s="657" t="s">
        <v>557</v>
      </c>
      <c r="I4" s="657" t="s">
        <v>557</v>
      </c>
      <c r="J4" s="657" t="s">
        <v>557</v>
      </c>
      <c r="K4" s="657" t="s">
        <v>557</v>
      </c>
      <c r="L4" s="657" t="s">
        <v>557</v>
      </c>
      <c r="M4" s="657" t="s">
        <v>557</v>
      </c>
      <c r="N4" s="657" t="s">
        <v>557</v>
      </c>
      <c r="O4" s="23"/>
      <c r="R4" s="656" t="s">
        <v>557</v>
      </c>
      <c r="S4" s="656" t="str">
        <f>+R4</f>
        <v>Forecast</v>
      </c>
      <c r="T4" s="656" t="str">
        <f aca="true" t="shared" si="0" ref="T4:AC4">+S4</f>
        <v>Forecast</v>
      </c>
      <c r="U4" s="656" t="str">
        <f t="shared" si="0"/>
        <v>Forecast</v>
      </c>
      <c r="V4" s="656" t="str">
        <f t="shared" si="0"/>
        <v>Forecast</v>
      </c>
      <c r="W4" s="656" t="str">
        <f t="shared" si="0"/>
        <v>Forecast</v>
      </c>
      <c r="X4" s="656" t="str">
        <f t="shared" si="0"/>
        <v>Forecast</v>
      </c>
      <c r="Y4" s="656" t="str">
        <f t="shared" si="0"/>
        <v>Forecast</v>
      </c>
      <c r="Z4" s="656" t="str">
        <f t="shared" si="0"/>
        <v>Forecast</v>
      </c>
      <c r="AA4" s="656" t="str">
        <f t="shared" si="0"/>
        <v>Forecast</v>
      </c>
      <c r="AB4" s="656" t="str">
        <f t="shared" si="0"/>
        <v>Forecast</v>
      </c>
      <c r="AC4" s="656" t="str">
        <f t="shared" si="0"/>
        <v>Forecast</v>
      </c>
      <c r="AD4" s="23"/>
    </row>
    <row r="5" spans="1:30" ht="18.75" thickBot="1">
      <c r="A5" s="431"/>
      <c r="B5" s="159"/>
      <c r="C5" s="660" t="s">
        <v>568</v>
      </c>
      <c r="D5" s="660" t="s">
        <v>569</v>
      </c>
      <c r="E5" s="660" t="s">
        <v>570</v>
      </c>
      <c r="F5" s="660" t="s">
        <v>571</v>
      </c>
      <c r="G5" s="660" t="s">
        <v>572</v>
      </c>
      <c r="H5" s="660" t="s">
        <v>573</v>
      </c>
      <c r="I5" s="660" t="s">
        <v>574</v>
      </c>
      <c r="J5" s="660" t="s">
        <v>575</v>
      </c>
      <c r="K5" s="660" t="s">
        <v>576</v>
      </c>
      <c r="L5" s="660" t="s">
        <v>577</v>
      </c>
      <c r="M5" s="660" t="s">
        <v>578</v>
      </c>
      <c r="N5" s="660" t="s">
        <v>579</v>
      </c>
      <c r="O5" s="27" t="s">
        <v>1</v>
      </c>
      <c r="P5" s="431"/>
      <c r="Q5" s="159"/>
      <c r="R5" s="660" t="s">
        <v>568</v>
      </c>
      <c r="S5" s="660" t="s">
        <v>569</v>
      </c>
      <c r="T5" s="660" t="s">
        <v>570</v>
      </c>
      <c r="U5" s="660" t="s">
        <v>571</v>
      </c>
      <c r="V5" s="660" t="s">
        <v>572</v>
      </c>
      <c r="W5" s="660" t="s">
        <v>573</v>
      </c>
      <c r="X5" s="660" t="s">
        <v>574</v>
      </c>
      <c r="Y5" s="660" t="s">
        <v>575</v>
      </c>
      <c r="Z5" s="660" t="s">
        <v>576</v>
      </c>
      <c r="AA5" s="660" t="s">
        <v>577</v>
      </c>
      <c r="AB5" s="660" t="s">
        <v>578</v>
      </c>
      <c r="AC5" s="660" t="s">
        <v>579</v>
      </c>
      <c r="AD5" s="27" t="s">
        <v>1</v>
      </c>
    </row>
    <row r="6" spans="1:30" ht="20.25">
      <c r="A6" s="464" t="s">
        <v>138</v>
      </c>
      <c r="B6" s="465" t="s">
        <v>442</v>
      </c>
      <c r="C6" s="477"/>
      <c r="D6" s="477"/>
      <c r="E6" s="477"/>
      <c r="F6" s="477"/>
      <c r="G6" s="477"/>
      <c r="H6" s="477"/>
      <c r="I6" s="477"/>
      <c r="J6" s="477"/>
      <c r="K6" s="477"/>
      <c r="L6" s="477"/>
      <c r="M6" s="477"/>
      <c r="N6" s="477"/>
      <c r="O6" s="253"/>
      <c r="P6" s="430" t="str">
        <f>+A6</f>
        <v>HEADCOUNT UNITS</v>
      </c>
      <c r="Q6" s="319"/>
      <c r="R6" s="477"/>
      <c r="S6" s="477"/>
      <c r="T6" s="477"/>
      <c r="U6" s="477"/>
      <c r="V6" s="477"/>
      <c r="W6" s="477"/>
      <c r="X6" s="477"/>
      <c r="Y6" s="477"/>
      <c r="Z6" s="477"/>
      <c r="AA6" s="477"/>
      <c r="AB6" s="477"/>
      <c r="AC6" s="477"/>
      <c r="AD6" s="253"/>
    </row>
    <row r="7" spans="1:30" ht="18">
      <c r="A7" s="432" t="s">
        <v>413</v>
      </c>
      <c r="B7" s="480"/>
      <c r="C7" s="72">
        <v>0</v>
      </c>
      <c r="D7" s="41">
        <f>+C7</f>
        <v>0</v>
      </c>
      <c r="E7" s="41">
        <f aca="true" t="shared" si="1" ref="E7:L8">+D7</f>
        <v>0</v>
      </c>
      <c r="F7" s="41">
        <f t="shared" si="1"/>
        <v>0</v>
      </c>
      <c r="G7" s="41">
        <f t="shared" si="1"/>
        <v>0</v>
      </c>
      <c r="H7" s="41">
        <f t="shared" si="1"/>
        <v>0</v>
      </c>
      <c r="I7" s="41">
        <f t="shared" si="1"/>
        <v>0</v>
      </c>
      <c r="J7" s="41">
        <f t="shared" si="1"/>
        <v>0</v>
      </c>
      <c r="K7" s="41">
        <f t="shared" si="1"/>
        <v>0</v>
      </c>
      <c r="L7" s="41">
        <f t="shared" si="1"/>
        <v>0</v>
      </c>
      <c r="M7" s="41">
        <f>+L7</f>
        <v>0</v>
      </c>
      <c r="N7" s="41">
        <f>+M7</f>
        <v>0</v>
      </c>
      <c r="O7" s="478">
        <f aca="true" t="shared" si="2" ref="O7:O18">SUM(C7:N7)</f>
        <v>0</v>
      </c>
      <c r="P7" s="270" t="str">
        <f aca="true" t="shared" si="3" ref="P7:P18">IF(A7="","",+A7)</f>
        <v>President</v>
      </c>
      <c r="Q7" s="480"/>
      <c r="R7" s="72">
        <f>+N7</f>
        <v>0</v>
      </c>
      <c r="S7" s="41">
        <f>+R7</f>
        <v>0</v>
      </c>
      <c r="T7" s="41">
        <f aca="true" t="shared" si="4" ref="T7:AC7">+S7</f>
        <v>0</v>
      </c>
      <c r="U7" s="41">
        <f t="shared" si="4"/>
        <v>0</v>
      </c>
      <c r="V7" s="41">
        <f t="shared" si="4"/>
        <v>0</v>
      </c>
      <c r="W7" s="41">
        <f t="shared" si="4"/>
        <v>0</v>
      </c>
      <c r="X7" s="41">
        <f t="shared" si="4"/>
        <v>0</v>
      </c>
      <c r="Y7" s="41">
        <f t="shared" si="4"/>
        <v>0</v>
      </c>
      <c r="Z7" s="41">
        <f t="shared" si="4"/>
        <v>0</v>
      </c>
      <c r="AA7" s="41">
        <f t="shared" si="4"/>
        <v>0</v>
      </c>
      <c r="AB7" s="41">
        <f t="shared" si="4"/>
        <v>0</v>
      </c>
      <c r="AC7" s="41">
        <f t="shared" si="4"/>
        <v>0</v>
      </c>
      <c r="AD7" s="478">
        <f aca="true" t="shared" si="5" ref="AD7:AD14">SUM(R7:AC7)</f>
        <v>0</v>
      </c>
    </row>
    <row r="8" spans="1:30" ht="18">
      <c r="A8" s="432" t="s">
        <v>438</v>
      </c>
      <c r="B8" s="480"/>
      <c r="C8" s="72">
        <v>0</v>
      </c>
      <c r="D8" s="41">
        <f>+C8</f>
        <v>0</v>
      </c>
      <c r="E8" s="41">
        <f t="shared" si="1"/>
        <v>0</v>
      </c>
      <c r="F8" s="41">
        <f t="shared" si="1"/>
        <v>0</v>
      </c>
      <c r="G8" s="41">
        <f t="shared" si="1"/>
        <v>0</v>
      </c>
      <c r="H8" s="41">
        <f t="shared" si="1"/>
        <v>0</v>
      </c>
      <c r="I8" s="41">
        <f t="shared" si="1"/>
        <v>0</v>
      </c>
      <c r="J8" s="41">
        <f t="shared" si="1"/>
        <v>0</v>
      </c>
      <c r="K8" s="41">
        <f t="shared" si="1"/>
        <v>0</v>
      </c>
      <c r="L8" s="41">
        <f t="shared" si="1"/>
        <v>0</v>
      </c>
      <c r="M8" s="41">
        <f>+L8</f>
        <v>0</v>
      </c>
      <c r="N8" s="41">
        <f>+M8</f>
        <v>0</v>
      </c>
      <c r="O8" s="478">
        <f t="shared" si="2"/>
        <v>0</v>
      </c>
      <c r="P8" s="270" t="str">
        <f t="shared" si="3"/>
        <v>Vice President</v>
      </c>
      <c r="Q8" s="480"/>
      <c r="R8" s="72">
        <f>+N8</f>
        <v>0</v>
      </c>
      <c r="S8" s="41">
        <f aca="true" t="shared" si="6" ref="S8:AC8">+R8</f>
        <v>0</v>
      </c>
      <c r="T8" s="41">
        <f t="shared" si="6"/>
        <v>0</v>
      </c>
      <c r="U8" s="41">
        <f t="shared" si="6"/>
        <v>0</v>
      </c>
      <c r="V8" s="41">
        <f t="shared" si="6"/>
        <v>0</v>
      </c>
      <c r="W8" s="41">
        <f t="shared" si="6"/>
        <v>0</v>
      </c>
      <c r="X8" s="41">
        <f t="shared" si="6"/>
        <v>0</v>
      </c>
      <c r="Y8" s="41">
        <f t="shared" si="6"/>
        <v>0</v>
      </c>
      <c r="Z8" s="41">
        <f t="shared" si="6"/>
        <v>0</v>
      </c>
      <c r="AA8" s="41">
        <f t="shared" si="6"/>
        <v>0</v>
      </c>
      <c r="AB8" s="41">
        <f t="shared" si="6"/>
        <v>0</v>
      </c>
      <c r="AC8" s="41">
        <f t="shared" si="6"/>
        <v>0</v>
      </c>
      <c r="AD8" s="478">
        <f t="shared" si="5"/>
        <v>0</v>
      </c>
    </row>
    <row r="9" spans="1:30" ht="18">
      <c r="A9" s="432" t="s">
        <v>439</v>
      </c>
      <c r="B9" s="480"/>
      <c r="C9" s="72">
        <v>0</v>
      </c>
      <c r="D9" s="41">
        <f>+C9</f>
        <v>0</v>
      </c>
      <c r="E9" s="41">
        <f>+D9</f>
        <v>0</v>
      </c>
      <c r="F9" s="41">
        <f aca="true" t="shared" si="7" ref="D9:N18">+E9</f>
        <v>0</v>
      </c>
      <c r="G9" s="41">
        <f t="shared" si="7"/>
        <v>0</v>
      </c>
      <c r="H9" s="41">
        <f>+G9</f>
        <v>0</v>
      </c>
      <c r="I9" s="41">
        <f t="shared" si="7"/>
        <v>0</v>
      </c>
      <c r="J9" s="41">
        <f t="shared" si="7"/>
        <v>0</v>
      </c>
      <c r="K9" s="41">
        <f t="shared" si="7"/>
        <v>0</v>
      </c>
      <c r="L9" s="41">
        <f t="shared" si="7"/>
        <v>0</v>
      </c>
      <c r="M9" s="41">
        <f t="shared" si="7"/>
        <v>0</v>
      </c>
      <c r="N9" s="41">
        <f t="shared" si="7"/>
        <v>0</v>
      </c>
      <c r="O9" s="478">
        <f t="shared" si="2"/>
        <v>0</v>
      </c>
      <c r="P9" s="270" t="str">
        <f t="shared" si="3"/>
        <v>Chief Financial Officer</v>
      </c>
      <c r="Q9" s="480"/>
      <c r="R9" s="72">
        <f aca="true" t="shared" si="8" ref="R9:R20">+N9</f>
        <v>0</v>
      </c>
      <c r="S9" s="41">
        <f aca="true" t="shared" si="9" ref="S9:AC9">+R9</f>
        <v>0</v>
      </c>
      <c r="T9" s="41">
        <f t="shared" si="9"/>
        <v>0</v>
      </c>
      <c r="U9" s="41">
        <f t="shared" si="9"/>
        <v>0</v>
      </c>
      <c r="V9" s="41">
        <f t="shared" si="9"/>
        <v>0</v>
      </c>
      <c r="W9" s="41">
        <f t="shared" si="9"/>
        <v>0</v>
      </c>
      <c r="X9" s="41">
        <f t="shared" si="9"/>
        <v>0</v>
      </c>
      <c r="Y9" s="41">
        <f t="shared" si="9"/>
        <v>0</v>
      </c>
      <c r="Z9" s="41">
        <f t="shared" si="9"/>
        <v>0</v>
      </c>
      <c r="AA9" s="41">
        <f t="shared" si="9"/>
        <v>0</v>
      </c>
      <c r="AB9" s="41">
        <f t="shared" si="9"/>
        <v>0</v>
      </c>
      <c r="AC9" s="41">
        <f t="shared" si="9"/>
        <v>0</v>
      </c>
      <c r="AD9" s="478">
        <f t="shared" si="5"/>
        <v>0</v>
      </c>
    </row>
    <row r="10" spans="1:30" ht="18">
      <c r="A10" s="432" t="s">
        <v>412</v>
      </c>
      <c r="B10" s="480"/>
      <c r="C10" s="72">
        <v>0</v>
      </c>
      <c r="D10" s="41">
        <f>+C10</f>
        <v>0</v>
      </c>
      <c r="E10" s="41">
        <f t="shared" si="7"/>
        <v>0</v>
      </c>
      <c r="F10" s="41">
        <f t="shared" si="7"/>
        <v>0</v>
      </c>
      <c r="G10" s="41">
        <f t="shared" si="7"/>
        <v>0</v>
      </c>
      <c r="H10" s="41">
        <f>+G10</f>
        <v>0</v>
      </c>
      <c r="I10" s="41">
        <f t="shared" si="7"/>
        <v>0</v>
      </c>
      <c r="J10" s="41">
        <f t="shared" si="7"/>
        <v>0</v>
      </c>
      <c r="K10" s="41">
        <f>+J10</f>
        <v>0</v>
      </c>
      <c r="L10" s="41">
        <f t="shared" si="7"/>
        <v>0</v>
      </c>
      <c r="M10" s="41">
        <f t="shared" si="7"/>
        <v>0</v>
      </c>
      <c r="N10" s="41">
        <f t="shared" si="7"/>
        <v>0</v>
      </c>
      <c r="O10" s="478">
        <f t="shared" si="2"/>
        <v>0</v>
      </c>
      <c r="P10" s="270" t="str">
        <f t="shared" si="3"/>
        <v>Administrator</v>
      </c>
      <c r="Q10" s="480"/>
      <c r="R10" s="72">
        <f t="shared" si="8"/>
        <v>0</v>
      </c>
      <c r="S10" s="41">
        <f aca="true" t="shared" si="10" ref="S10:AC10">+R10</f>
        <v>0</v>
      </c>
      <c r="T10" s="41">
        <f t="shared" si="10"/>
        <v>0</v>
      </c>
      <c r="U10" s="41">
        <f t="shared" si="10"/>
        <v>0</v>
      </c>
      <c r="V10" s="41">
        <f t="shared" si="10"/>
        <v>0</v>
      </c>
      <c r="W10" s="41">
        <f t="shared" si="10"/>
        <v>0</v>
      </c>
      <c r="X10" s="41">
        <f t="shared" si="10"/>
        <v>0</v>
      </c>
      <c r="Y10" s="41">
        <f t="shared" si="10"/>
        <v>0</v>
      </c>
      <c r="Z10" s="41">
        <f t="shared" si="10"/>
        <v>0</v>
      </c>
      <c r="AA10" s="41">
        <f t="shared" si="10"/>
        <v>0</v>
      </c>
      <c r="AB10" s="41">
        <f t="shared" si="10"/>
        <v>0</v>
      </c>
      <c r="AC10" s="41">
        <f t="shared" si="10"/>
        <v>0</v>
      </c>
      <c r="AD10" s="478">
        <f t="shared" si="5"/>
        <v>0</v>
      </c>
    </row>
    <row r="11" spans="1:30" ht="18">
      <c r="A11" s="432" t="s">
        <v>562</v>
      </c>
      <c r="B11" s="480"/>
      <c r="C11" s="72">
        <v>0</v>
      </c>
      <c r="D11" s="41">
        <f>+C11</f>
        <v>0</v>
      </c>
      <c r="E11" s="41">
        <f t="shared" si="7"/>
        <v>0</v>
      </c>
      <c r="F11" s="41">
        <f t="shared" si="7"/>
        <v>0</v>
      </c>
      <c r="G11" s="41">
        <f t="shared" si="7"/>
        <v>0</v>
      </c>
      <c r="H11" s="41">
        <f t="shared" si="7"/>
        <v>0</v>
      </c>
      <c r="I11" s="41">
        <f t="shared" si="7"/>
        <v>0</v>
      </c>
      <c r="J11" s="41">
        <f t="shared" si="7"/>
        <v>0</v>
      </c>
      <c r="K11" s="41">
        <f t="shared" si="7"/>
        <v>0</v>
      </c>
      <c r="L11" s="41">
        <f t="shared" si="7"/>
        <v>0</v>
      </c>
      <c r="M11" s="41">
        <f t="shared" si="7"/>
        <v>0</v>
      </c>
      <c r="N11" s="41">
        <f t="shared" si="7"/>
        <v>0</v>
      </c>
      <c r="O11" s="478">
        <f t="shared" si="2"/>
        <v>0</v>
      </c>
      <c r="P11" s="270" t="str">
        <f t="shared" si="3"/>
        <v>Production Supervisor</v>
      </c>
      <c r="Q11" s="480"/>
      <c r="R11" s="72">
        <f t="shared" si="8"/>
        <v>0</v>
      </c>
      <c r="S11" s="41">
        <f aca="true" t="shared" si="11" ref="S11:AC11">+R11</f>
        <v>0</v>
      </c>
      <c r="T11" s="41">
        <f t="shared" si="11"/>
        <v>0</v>
      </c>
      <c r="U11" s="41">
        <f t="shared" si="11"/>
        <v>0</v>
      </c>
      <c r="V11" s="41">
        <f t="shared" si="11"/>
        <v>0</v>
      </c>
      <c r="W11" s="41">
        <f t="shared" si="11"/>
        <v>0</v>
      </c>
      <c r="X11" s="41">
        <f t="shared" si="11"/>
        <v>0</v>
      </c>
      <c r="Y11" s="41">
        <f t="shared" si="11"/>
        <v>0</v>
      </c>
      <c r="Z11" s="41">
        <f t="shared" si="11"/>
        <v>0</v>
      </c>
      <c r="AA11" s="41">
        <f t="shared" si="11"/>
        <v>0</v>
      </c>
      <c r="AB11" s="41">
        <f t="shared" si="11"/>
        <v>0</v>
      </c>
      <c r="AC11" s="41">
        <f t="shared" si="11"/>
        <v>0</v>
      </c>
      <c r="AD11" s="478">
        <f t="shared" si="5"/>
        <v>0</v>
      </c>
    </row>
    <row r="12" spans="1:30" ht="18">
      <c r="A12" s="432" t="s">
        <v>563</v>
      </c>
      <c r="B12" s="480"/>
      <c r="C12" s="72">
        <v>0</v>
      </c>
      <c r="D12" s="41">
        <f t="shared" si="7"/>
        <v>0</v>
      </c>
      <c r="E12" s="41">
        <f>+D12</f>
        <v>0</v>
      </c>
      <c r="F12" s="41">
        <f t="shared" si="7"/>
        <v>0</v>
      </c>
      <c r="G12" s="41">
        <f t="shared" si="7"/>
        <v>0</v>
      </c>
      <c r="H12" s="41">
        <f t="shared" si="7"/>
        <v>0</v>
      </c>
      <c r="I12" s="41">
        <f>+H12</f>
        <v>0</v>
      </c>
      <c r="J12" s="41">
        <f t="shared" si="7"/>
        <v>0</v>
      </c>
      <c r="K12" s="41">
        <f t="shared" si="7"/>
        <v>0</v>
      </c>
      <c r="L12" s="41">
        <f>+K12</f>
        <v>0</v>
      </c>
      <c r="M12" s="41">
        <f t="shared" si="7"/>
        <v>0</v>
      </c>
      <c r="N12" s="41">
        <f t="shared" si="7"/>
        <v>0</v>
      </c>
      <c r="O12" s="478">
        <f t="shared" si="2"/>
        <v>0</v>
      </c>
      <c r="P12" s="270" t="str">
        <f t="shared" si="3"/>
        <v>Production Crew</v>
      </c>
      <c r="Q12" s="480"/>
      <c r="R12" s="72">
        <f t="shared" si="8"/>
        <v>0</v>
      </c>
      <c r="S12" s="41">
        <f>+R12</f>
        <v>0</v>
      </c>
      <c r="T12" s="41">
        <f aca="true" t="shared" si="12" ref="T12:AC12">+S12</f>
        <v>0</v>
      </c>
      <c r="U12" s="41">
        <f t="shared" si="12"/>
        <v>0</v>
      </c>
      <c r="V12" s="41">
        <f t="shared" si="12"/>
        <v>0</v>
      </c>
      <c r="W12" s="41">
        <f t="shared" si="12"/>
        <v>0</v>
      </c>
      <c r="X12" s="41">
        <f t="shared" si="12"/>
        <v>0</v>
      </c>
      <c r="Y12" s="41">
        <f t="shared" si="12"/>
        <v>0</v>
      </c>
      <c r="Z12" s="41">
        <f t="shared" si="12"/>
        <v>0</v>
      </c>
      <c r="AA12" s="41">
        <f t="shared" si="12"/>
        <v>0</v>
      </c>
      <c r="AB12" s="41">
        <f t="shared" si="12"/>
        <v>0</v>
      </c>
      <c r="AC12" s="41">
        <f t="shared" si="12"/>
        <v>0</v>
      </c>
      <c r="AD12" s="478">
        <f t="shared" si="5"/>
        <v>0</v>
      </c>
    </row>
    <row r="13" spans="1:30" ht="18">
      <c r="A13" s="432" t="s">
        <v>6</v>
      </c>
      <c r="B13" s="480"/>
      <c r="C13" s="72">
        <v>0</v>
      </c>
      <c r="D13" s="41">
        <f t="shared" si="7"/>
        <v>0</v>
      </c>
      <c r="E13" s="41">
        <f t="shared" si="7"/>
        <v>0</v>
      </c>
      <c r="F13" s="41">
        <f t="shared" si="7"/>
        <v>0</v>
      </c>
      <c r="G13" s="41">
        <f t="shared" si="7"/>
        <v>0</v>
      </c>
      <c r="H13" s="41">
        <f t="shared" si="7"/>
        <v>0</v>
      </c>
      <c r="I13" s="41">
        <f t="shared" si="7"/>
        <v>0</v>
      </c>
      <c r="J13" s="41">
        <f t="shared" si="7"/>
        <v>0</v>
      </c>
      <c r="K13" s="41">
        <f t="shared" si="7"/>
        <v>0</v>
      </c>
      <c r="L13" s="41">
        <f t="shared" si="7"/>
        <v>0</v>
      </c>
      <c r="M13" s="41">
        <f t="shared" si="7"/>
        <v>0</v>
      </c>
      <c r="N13" s="41">
        <f t="shared" si="7"/>
        <v>0</v>
      </c>
      <c r="O13" s="478">
        <f t="shared" si="2"/>
        <v>0</v>
      </c>
      <c r="P13" s="270" t="str">
        <f t="shared" si="3"/>
        <v>Other</v>
      </c>
      <c r="Q13" s="480"/>
      <c r="R13" s="72">
        <f t="shared" si="8"/>
        <v>0</v>
      </c>
      <c r="S13" s="41">
        <f>+R13</f>
        <v>0</v>
      </c>
      <c r="T13" s="41">
        <f aca="true" t="shared" si="13" ref="T13:AB13">+S13</f>
        <v>0</v>
      </c>
      <c r="U13" s="41">
        <f t="shared" si="13"/>
        <v>0</v>
      </c>
      <c r="V13" s="41">
        <f t="shared" si="13"/>
        <v>0</v>
      </c>
      <c r="W13" s="41">
        <f t="shared" si="13"/>
        <v>0</v>
      </c>
      <c r="X13" s="41">
        <f t="shared" si="13"/>
        <v>0</v>
      </c>
      <c r="Y13" s="41">
        <f t="shared" si="13"/>
        <v>0</v>
      </c>
      <c r="Z13" s="41">
        <f t="shared" si="13"/>
        <v>0</v>
      </c>
      <c r="AA13" s="41">
        <f t="shared" si="13"/>
        <v>0</v>
      </c>
      <c r="AB13" s="41">
        <f t="shared" si="13"/>
        <v>0</v>
      </c>
      <c r="AC13" s="41">
        <f>+AB13</f>
        <v>0</v>
      </c>
      <c r="AD13" s="478">
        <f t="shared" si="5"/>
        <v>0</v>
      </c>
    </row>
    <row r="14" spans="1:30" ht="18" customHeight="1">
      <c r="A14" s="432" t="s">
        <v>564</v>
      </c>
      <c r="B14" s="480"/>
      <c r="C14" s="72">
        <v>0</v>
      </c>
      <c r="D14" s="41">
        <f t="shared" si="7"/>
        <v>0</v>
      </c>
      <c r="E14" s="41">
        <f t="shared" si="7"/>
        <v>0</v>
      </c>
      <c r="F14" s="41">
        <f>+E14</f>
        <v>0</v>
      </c>
      <c r="G14" s="41">
        <f t="shared" si="7"/>
        <v>0</v>
      </c>
      <c r="H14" s="41">
        <f t="shared" si="7"/>
        <v>0</v>
      </c>
      <c r="I14" s="41">
        <f t="shared" si="7"/>
        <v>0</v>
      </c>
      <c r="J14" s="41">
        <f t="shared" si="7"/>
        <v>0</v>
      </c>
      <c r="K14" s="41">
        <f t="shared" si="7"/>
        <v>0</v>
      </c>
      <c r="L14" s="41">
        <f t="shared" si="7"/>
        <v>0</v>
      </c>
      <c r="M14" s="41">
        <f t="shared" si="7"/>
        <v>0</v>
      </c>
      <c r="N14" s="41">
        <f t="shared" si="7"/>
        <v>0</v>
      </c>
      <c r="O14" s="478">
        <f t="shared" si="2"/>
        <v>0</v>
      </c>
      <c r="P14" s="270" t="str">
        <f t="shared" si="3"/>
        <v>Director of Sales</v>
      </c>
      <c r="Q14" s="480"/>
      <c r="R14" s="72">
        <f t="shared" si="8"/>
        <v>0</v>
      </c>
      <c r="S14" s="41">
        <f aca="true" t="shared" si="14" ref="S14:AC14">+R14</f>
        <v>0</v>
      </c>
      <c r="T14" s="41">
        <f t="shared" si="14"/>
        <v>0</v>
      </c>
      <c r="U14" s="41">
        <f t="shared" si="14"/>
        <v>0</v>
      </c>
      <c r="V14" s="41">
        <f t="shared" si="14"/>
        <v>0</v>
      </c>
      <c r="W14" s="41">
        <f t="shared" si="14"/>
        <v>0</v>
      </c>
      <c r="X14" s="41">
        <f t="shared" si="14"/>
        <v>0</v>
      </c>
      <c r="Y14" s="41">
        <f t="shared" si="14"/>
        <v>0</v>
      </c>
      <c r="Z14" s="41">
        <f t="shared" si="14"/>
        <v>0</v>
      </c>
      <c r="AA14" s="41">
        <f t="shared" si="14"/>
        <v>0</v>
      </c>
      <c r="AB14" s="41">
        <f t="shared" si="14"/>
        <v>0</v>
      </c>
      <c r="AC14" s="41">
        <f t="shared" si="14"/>
        <v>0</v>
      </c>
      <c r="AD14" s="478">
        <f t="shared" si="5"/>
        <v>0</v>
      </c>
    </row>
    <row r="15" spans="1:30" ht="18">
      <c r="A15" s="432" t="s">
        <v>565</v>
      </c>
      <c r="B15" s="434"/>
      <c r="C15" s="72">
        <v>0</v>
      </c>
      <c r="D15" s="41">
        <f t="shared" si="7"/>
        <v>0</v>
      </c>
      <c r="E15" s="41">
        <f t="shared" si="7"/>
        <v>0</v>
      </c>
      <c r="F15" s="41">
        <f t="shared" si="7"/>
        <v>0</v>
      </c>
      <c r="G15" s="41">
        <f>+F15</f>
        <v>0</v>
      </c>
      <c r="H15" s="41">
        <f t="shared" si="7"/>
        <v>0</v>
      </c>
      <c r="I15" s="41">
        <f t="shared" si="7"/>
        <v>0</v>
      </c>
      <c r="J15" s="41">
        <f>+I15</f>
        <v>0</v>
      </c>
      <c r="K15" s="41">
        <f t="shared" si="7"/>
        <v>0</v>
      </c>
      <c r="L15" s="41">
        <f t="shared" si="7"/>
        <v>0</v>
      </c>
      <c r="M15" s="41">
        <f>+L15</f>
        <v>0</v>
      </c>
      <c r="N15" s="41">
        <f t="shared" si="7"/>
        <v>0</v>
      </c>
      <c r="O15" s="478">
        <f>SUM(C15:N15)</f>
        <v>0</v>
      </c>
      <c r="P15" s="270" t="str">
        <f t="shared" si="3"/>
        <v>Sales - West Region</v>
      </c>
      <c r="Q15" s="434"/>
      <c r="R15" s="72">
        <f t="shared" si="8"/>
        <v>0</v>
      </c>
      <c r="S15" s="41">
        <f aca="true" t="shared" si="15" ref="S15:AC15">+R15</f>
        <v>0</v>
      </c>
      <c r="T15" s="41">
        <f t="shared" si="15"/>
        <v>0</v>
      </c>
      <c r="U15" s="41">
        <f t="shared" si="15"/>
        <v>0</v>
      </c>
      <c r="V15" s="41">
        <f t="shared" si="15"/>
        <v>0</v>
      </c>
      <c r="W15" s="41">
        <f t="shared" si="15"/>
        <v>0</v>
      </c>
      <c r="X15" s="41">
        <f t="shared" si="15"/>
        <v>0</v>
      </c>
      <c r="Y15" s="41">
        <f t="shared" si="15"/>
        <v>0</v>
      </c>
      <c r="Z15" s="41">
        <f t="shared" si="15"/>
        <v>0</v>
      </c>
      <c r="AA15" s="41">
        <f t="shared" si="15"/>
        <v>0</v>
      </c>
      <c r="AB15" s="41">
        <f t="shared" si="15"/>
        <v>0</v>
      </c>
      <c r="AC15" s="41">
        <f t="shared" si="15"/>
        <v>0</v>
      </c>
      <c r="AD15" s="478">
        <f aca="true" t="shared" si="16" ref="AD15:AD21">SUM(R15:AC15)</f>
        <v>0</v>
      </c>
    </row>
    <row r="16" spans="1:30" ht="18">
      <c r="A16" s="432" t="s">
        <v>6</v>
      </c>
      <c r="B16" s="434"/>
      <c r="C16" s="72">
        <v>0</v>
      </c>
      <c r="D16" s="41">
        <f t="shared" si="7"/>
        <v>0</v>
      </c>
      <c r="E16" s="41">
        <f t="shared" si="7"/>
        <v>0</v>
      </c>
      <c r="F16" s="41">
        <f t="shared" si="7"/>
        <v>0</v>
      </c>
      <c r="G16" s="41">
        <f t="shared" si="7"/>
        <v>0</v>
      </c>
      <c r="H16" s="41">
        <f t="shared" si="7"/>
        <v>0</v>
      </c>
      <c r="I16" s="41">
        <f t="shared" si="7"/>
        <v>0</v>
      </c>
      <c r="J16" s="41">
        <f t="shared" si="7"/>
        <v>0</v>
      </c>
      <c r="K16" s="41">
        <f t="shared" si="7"/>
        <v>0</v>
      </c>
      <c r="L16" s="41">
        <f t="shared" si="7"/>
        <v>0</v>
      </c>
      <c r="M16" s="41">
        <f t="shared" si="7"/>
        <v>0</v>
      </c>
      <c r="N16" s="41">
        <f t="shared" si="7"/>
        <v>0</v>
      </c>
      <c r="O16" s="478">
        <f>SUM(C16:N16)</f>
        <v>0</v>
      </c>
      <c r="P16" s="270" t="str">
        <f t="shared" si="3"/>
        <v>Other</v>
      </c>
      <c r="Q16" s="434"/>
      <c r="R16" s="72">
        <f t="shared" si="8"/>
        <v>0</v>
      </c>
      <c r="S16" s="41">
        <f aca="true" t="shared" si="17" ref="S16:AC16">+R16</f>
        <v>0</v>
      </c>
      <c r="T16" s="41">
        <f>+S16</f>
        <v>0</v>
      </c>
      <c r="U16" s="41">
        <f t="shared" si="17"/>
        <v>0</v>
      </c>
      <c r="V16" s="41">
        <f t="shared" si="17"/>
        <v>0</v>
      </c>
      <c r="W16" s="41">
        <f t="shared" si="17"/>
        <v>0</v>
      </c>
      <c r="X16" s="41">
        <f t="shared" si="17"/>
        <v>0</v>
      </c>
      <c r="Y16" s="41">
        <f t="shared" si="17"/>
        <v>0</v>
      </c>
      <c r="Z16" s="41">
        <f t="shared" si="17"/>
        <v>0</v>
      </c>
      <c r="AA16" s="41">
        <f t="shared" si="17"/>
        <v>0</v>
      </c>
      <c r="AB16" s="41">
        <f t="shared" si="17"/>
        <v>0</v>
      </c>
      <c r="AC16" s="41">
        <f t="shared" si="17"/>
        <v>0</v>
      </c>
      <c r="AD16" s="478">
        <f t="shared" si="16"/>
        <v>0</v>
      </c>
    </row>
    <row r="17" spans="1:30" ht="18">
      <c r="A17" s="432" t="s">
        <v>6</v>
      </c>
      <c r="B17" s="434"/>
      <c r="C17" s="72">
        <v>0</v>
      </c>
      <c r="D17" s="41">
        <f t="shared" si="7"/>
        <v>0</v>
      </c>
      <c r="E17" s="41">
        <f t="shared" si="7"/>
        <v>0</v>
      </c>
      <c r="F17" s="41">
        <f t="shared" si="7"/>
        <v>0</v>
      </c>
      <c r="G17" s="41">
        <f t="shared" si="7"/>
        <v>0</v>
      </c>
      <c r="H17" s="41">
        <f t="shared" si="7"/>
        <v>0</v>
      </c>
      <c r="I17" s="41">
        <f t="shared" si="7"/>
        <v>0</v>
      </c>
      <c r="J17" s="41">
        <f t="shared" si="7"/>
        <v>0</v>
      </c>
      <c r="K17" s="41">
        <f t="shared" si="7"/>
        <v>0</v>
      </c>
      <c r="L17" s="41">
        <f t="shared" si="7"/>
        <v>0</v>
      </c>
      <c r="M17" s="41">
        <f t="shared" si="7"/>
        <v>0</v>
      </c>
      <c r="N17" s="41">
        <f t="shared" si="7"/>
        <v>0</v>
      </c>
      <c r="O17" s="478">
        <f>SUM(C17:N17)</f>
        <v>0</v>
      </c>
      <c r="P17" s="270" t="str">
        <f t="shared" si="3"/>
        <v>Other</v>
      </c>
      <c r="Q17" s="434"/>
      <c r="R17" s="72">
        <f t="shared" si="8"/>
        <v>0</v>
      </c>
      <c r="S17" s="41">
        <f aca="true" t="shared" si="18" ref="S17:AC17">+R17</f>
        <v>0</v>
      </c>
      <c r="T17" s="41">
        <f t="shared" si="18"/>
        <v>0</v>
      </c>
      <c r="U17" s="41">
        <f t="shared" si="18"/>
        <v>0</v>
      </c>
      <c r="V17" s="41">
        <f>+U17</f>
        <v>0</v>
      </c>
      <c r="W17" s="41">
        <f t="shared" si="18"/>
        <v>0</v>
      </c>
      <c r="X17" s="41">
        <f t="shared" si="18"/>
        <v>0</v>
      </c>
      <c r="Y17" s="41">
        <f t="shared" si="18"/>
        <v>0</v>
      </c>
      <c r="Z17" s="41">
        <f t="shared" si="18"/>
        <v>0</v>
      </c>
      <c r="AA17" s="41">
        <f t="shared" si="18"/>
        <v>0</v>
      </c>
      <c r="AB17" s="41">
        <f t="shared" si="18"/>
        <v>0</v>
      </c>
      <c r="AC17" s="41">
        <f t="shared" si="18"/>
        <v>0</v>
      </c>
      <c r="AD17" s="478">
        <f t="shared" si="16"/>
        <v>0</v>
      </c>
    </row>
    <row r="18" spans="1:30" ht="18">
      <c r="A18" s="432" t="s">
        <v>6</v>
      </c>
      <c r="B18" s="434"/>
      <c r="C18" s="72">
        <v>0</v>
      </c>
      <c r="D18" s="41">
        <f t="shared" si="7"/>
        <v>0</v>
      </c>
      <c r="E18" s="41">
        <f t="shared" si="7"/>
        <v>0</v>
      </c>
      <c r="F18" s="41">
        <f t="shared" si="7"/>
        <v>0</v>
      </c>
      <c r="G18" s="41">
        <f t="shared" si="7"/>
        <v>0</v>
      </c>
      <c r="H18" s="41">
        <f t="shared" si="7"/>
        <v>0</v>
      </c>
      <c r="I18" s="41">
        <f t="shared" si="7"/>
        <v>0</v>
      </c>
      <c r="J18" s="41">
        <f t="shared" si="7"/>
        <v>0</v>
      </c>
      <c r="K18" s="41">
        <f t="shared" si="7"/>
        <v>0</v>
      </c>
      <c r="L18" s="41">
        <f t="shared" si="7"/>
        <v>0</v>
      </c>
      <c r="M18" s="41">
        <f t="shared" si="7"/>
        <v>0</v>
      </c>
      <c r="N18" s="41">
        <f t="shared" si="7"/>
        <v>0</v>
      </c>
      <c r="O18" s="478">
        <f t="shared" si="2"/>
        <v>0</v>
      </c>
      <c r="P18" s="270" t="str">
        <f t="shared" si="3"/>
        <v>Other</v>
      </c>
      <c r="Q18" s="434"/>
      <c r="R18" s="72">
        <f t="shared" si="8"/>
        <v>0</v>
      </c>
      <c r="S18" s="41">
        <f aca="true" t="shared" si="19" ref="S18:AC18">+R18</f>
        <v>0</v>
      </c>
      <c r="T18" s="41">
        <f t="shared" si="19"/>
        <v>0</v>
      </c>
      <c r="U18" s="41">
        <f t="shared" si="19"/>
        <v>0</v>
      </c>
      <c r="V18" s="41">
        <f t="shared" si="19"/>
        <v>0</v>
      </c>
      <c r="W18" s="41">
        <f t="shared" si="19"/>
        <v>0</v>
      </c>
      <c r="X18" s="41">
        <f t="shared" si="19"/>
        <v>0</v>
      </c>
      <c r="Y18" s="41">
        <f t="shared" si="19"/>
        <v>0</v>
      </c>
      <c r="Z18" s="41">
        <f t="shared" si="19"/>
        <v>0</v>
      </c>
      <c r="AA18" s="41">
        <f t="shared" si="19"/>
        <v>0</v>
      </c>
      <c r="AB18" s="41">
        <f t="shared" si="19"/>
        <v>0</v>
      </c>
      <c r="AC18" s="41">
        <f t="shared" si="19"/>
        <v>0</v>
      </c>
      <c r="AD18" s="478">
        <f t="shared" si="16"/>
        <v>0</v>
      </c>
    </row>
    <row r="19" spans="1:30" ht="20.25">
      <c r="A19" s="432" t="s">
        <v>6</v>
      </c>
      <c r="B19" s="434"/>
      <c r="C19" s="72">
        <v>0</v>
      </c>
      <c r="D19" s="41">
        <f>+C19</f>
        <v>0</v>
      </c>
      <c r="E19" s="41">
        <f>+D19</f>
        <v>0</v>
      </c>
      <c r="F19" s="41">
        <f>+E19</f>
        <v>0</v>
      </c>
      <c r="G19" s="41">
        <f aca="true" t="shared" si="20" ref="G19:M19">+F19</f>
        <v>0</v>
      </c>
      <c r="H19" s="41">
        <f t="shared" si="20"/>
        <v>0</v>
      </c>
      <c r="I19" s="41">
        <f t="shared" si="20"/>
        <v>0</v>
      </c>
      <c r="J19" s="41">
        <f t="shared" si="20"/>
        <v>0</v>
      </c>
      <c r="K19" s="41">
        <f t="shared" si="20"/>
        <v>0</v>
      </c>
      <c r="L19" s="41">
        <f t="shared" si="20"/>
        <v>0</v>
      </c>
      <c r="M19" s="41">
        <f t="shared" si="20"/>
        <v>0</v>
      </c>
      <c r="N19" s="41">
        <f>+M19</f>
        <v>0</v>
      </c>
      <c r="O19" s="478">
        <f>SUM(C19:N19)</f>
        <v>0</v>
      </c>
      <c r="P19" s="535" t="str">
        <f>IF(A19="","",+A19)</f>
        <v>Other</v>
      </c>
      <c r="Q19" s="434"/>
      <c r="R19" s="72">
        <f t="shared" si="8"/>
        <v>0</v>
      </c>
      <c r="S19" s="41">
        <f aca="true" t="shared" si="21" ref="S19:AC19">+R19</f>
        <v>0</v>
      </c>
      <c r="T19" s="41">
        <f t="shared" si="21"/>
        <v>0</v>
      </c>
      <c r="U19" s="41">
        <f t="shared" si="21"/>
        <v>0</v>
      </c>
      <c r="V19" s="41">
        <f t="shared" si="21"/>
        <v>0</v>
      </c>
      <c r="W19" s="41">
        <f t="shared" si="21"/>
        <v>0</v>
      </c>
      <c r="X19" s="41">
        <f t="shared" si="21"/>
        <v>0</v>
      </c>
      <c r="Y19" s="41">
        <f t="shared" si="21"/>
        <v>0</v>
      </c>
      <c r="Z19" s="41">
        <f t="shared" si="21"/>
        <v>0</v>
      </c>
      <c r="AA19" s="41">
        <f t="shared" si="21"/>
        <v>0</v>
      </c>
      <c r="AB19" s="41">
        <f t="shared" si="21"/>
        <v>0</v>
      </c>
      <c r="AC19" s="41">
        <f t="shared" si="21"/>
        <v>0</v>
      </c>
      <c r="AD19" s="478">
        <f t="shared" si="16"/>
        <v>0</v>
      </c>
    </row>
    <row r="20" spans="1:30" ht="18">
      <c r="A20" s="433" t="s">
        <v>6</v>
      </c>
      <c r="B20" s="428"/>
      <c r="C20" s="192">
        <v>0</v>
      </c>
      <c r="D20" s="86">
        <f>+C20</f>
        <v>0</v>
      </c>
      <c r="E20" s="86">
        <f>+D20</f>
        <v>0</v>
      </c>
      <c r="F20" s="86">
        <f aca="true" t="shared" si="22" ref="F20:N20">+E20</f>
        <v>0</v>
      </c>
      <c r="G20" s="86">
        <f t="shared" si="22"/>
        <v>0</v>
      </c>
      <c r="H20" s="86">
        <f t="shared" si="22"/>
        <v>0</v>
      </c>
      <c r="I20" s="86">
        <f t="shared" si="22"/>
        <v>0</v>
      </c>
      <c r="J20" s="86">
        <f t="shared" si="22"/>
        <v>0</v>
      </c>
      <c r="K20" s="86">
        <f t="shared" si="22"/>
        <v>0</v>
      </c>
      <c r="L20" s="86">
        <f t="shared" si="22"/>
        <v>0</v>
      </c>
      <c r="M20" s="86">
        <f t="shared" si="22"/>
        <v>0</v>
      </c>
      <c r="N20" s="240">
        <f t="shared" si="22"/>
        <v>0</v>
      </c>
      <c r="O20" s="479">
        <f>SUM(C20:N20)</f>
        <v>0</v>
      </c>
      <c r="P20" s="271" t="str">
        <f>IF(A20="","",+A20)</f>
        <v>Other</v>
      </c>
      <c r="Q20" s="428"/>
      <c r="R20" s="453">
        <f t="shared" si="8"/>
        <v>0</v>
      </c>
      <c r="S20" s="86">
        <f aca="true" t="shared" si="23" ref="S20:AC20">+R20</f>
        <v>0</v>
      </c>
      <c r="T20" s="86">
        <f t="shared" si="23"/>
        <v>0</v>
      </c>
      <c r="U20" s="86">
        <f t="shared" si="23"/>
        <v>0</v>
      </c>
      <c r="V20" s="86">
        <f t="shared" si="23"/>
        <v>0</v>
      </c>
      <c r="W20" s="86">
        <f t="shared" si="23"/>
        <v>0</v>
      </c>
      <c r="X20" s="86">
        <f t="shared" si="23"/>
        <v>0</v>
      </c>
      <c r="Y20" s="86">
        <f t="shared" si="23"/>
        <v>0</v>
      </c>
      <c r="Z20" s="86">
        <f t="shared" si="23"/>
        <v>0</v>
      </c>
      <c r="AA20" s="86">
        <f t="shared" si="23"/>
        <v>0</v>
      </c>
      <c r="AB20" s="86">
        <f t="shared" si="23"/>
        <v>0</v>
      </c>
      <c r="AC20" s="240">
        <f t="shared" si="23"/>
        <v>0</v>
      </c>
      <c r="AD20" s="479">
        <f t="shared" si="16"/>
        <v>0</v>
      </c>
    </row>
    <row r="21" spans="1:30" ht="18">
      <c r="A21" s="42" t="s">
        <v>363</v>
      </c>
      <c r="B21" s="30"/>
      <c r="C21" s="474">
        <f aca="true" t="shared" si="24" ref="C21:N21">SUM(C7:C20)</f>
        <v>0</v>
      </c>
      <c r="D21" s="475">
        <f t="shared" si="24"/>
        <v>0</v>
      </c>
      <c r="E21" s="475">
        <f t="shared" si="24"/>
        <v>0</v>
      </c>
      <c r="F21" s="475">
        <f t="shared" si="24"/>
        <v>0</v>
      </c>
      <c r="G21" s="475">
        <f t="shared" si="24"/>
        <v>0</v>
      </c>
      <c r="H21" s="475">
        <f t="shared" si="24"/>
        <v>0</v>
      </c>
      <c r="I21" s="475">
        <f t="shared" si="24"/>
        <v>0</v>
      </c>
      <c r="J21" s="475">
        <f t="shared" si="24"/>
        <v>0</v>
      </c>
      <c r="K21" s="475">
        <f t="shared" si="24"/>
        <v>0</v>
      </c>
      <c r="L21" s="475">
        <f t="shared" si="24"/>
        <v>0</v>
      </c>
      <c r="M21" s="475">
        <f t="shared" si="24"/>
        <v>0</v>
      </c>
      <c r="N21" s="476">
        <f t="shared" si="24"/>
        <v>0</v>
      </c>
      <c r="O21" s="251">
        <f>SUM(C21:N21)</f>
        <v>0</v>
      </c>
      <c r="P21" s="42" t="str">
        <f>+A21</f>
        <v>Total Employees</v>
      </c>
      <c r="Q21" s="30"/>
      <c r="R21" s="474">
        <f aca="true" t="shared" si="25" ref="R21:AC21">SUM(R7:R20)</f>
        <v>0</v>
      </c>
      <c r="S21" s="475">
        <f t="shared" si="25"/>
        <v>0</v>
      </c>
      <c r="T21" s="475">
        <f t="shared" si="25"/>
        <v>0</v>
      </c>
      <c r="U21" s="475">
        <f t="shared" si="25"/>
        <v>0</v>
      </c>
      <c r="V21" s="475">
        <f t="shared" si="25"/>
        <v>0</v>
      </c>
      <c r="W21" s="475">
        <f t="shared" si="25"/>
        <v>0</v>
      </c>
      <c r="X21" s="475">
        <f t="shared" si="25"/>
        <v>0</v>
      </c>
      <c r="Y21" s="475">
        <f t="shared" si="25"/>
        <v>0</v>
      </c>
      <c r="Z21" s="475">
        <f t="shared" si="25"/>
        <v>0</v>
      </c>
      <c r="AA21" s="475">
        <f t="shared" si="25"/>
        <v>0</v>
      </c>
      <c r="AB21" s="475">
        <f t="shared" si="25"/>
        <v>0</v>
      </c>
      <c r="AC21" s="476">
        <f t="shared" si="25"/>
        <v>0</v>
      </c>
      <c r="AD21" s="251">
        <f t="shared" si="16"/>
        <v>0</v>
      </c>
    </row>
    <row r="22" spans="1:30" ht="18">
      <c r="A22" s="32"/>
      <c r="B22" s="30"/>
      <c r="D22" s="41"/>
      <c r="E22" s="41"/>
      <c r="F22" s="41"/>
      <c r="G22" s="41"/>
      <c r="H22" s="41"/>
      <c r="I22" s="41"/>
      <c r="J22" s="41"/>
      <c r="K22" s="41"/>
      <c r="L22" s="41"/>
      <c r="M22" s="41"/>
      <c r="N22" s="41"/>
      <c r="O22" s="33"/>
      <c r="P22" s="32"/>
      <c r="Q22" s="30"/>
      <c r="S22" s="41"/>
      <c r="T22" s="41"/>
      <c r="U22" s="41"/>
      <c r="V22" s="41"/>
      <c r="W22" s="41"/>
      <c r="X22" s="41"/>
      <c r="Y22" s="41"/>
      <c r="Z22" s="41"/>
      <c r="AA22" s="41"/>
      <c r="AB22" s="41"/>
      <c r="AC22" s="41"/>
      <c r="AD22" s="33"/>
    </row>
    <row r="23" spans="1:30" ht="20.25">
      <c r="A23" s="464" t="s">
        <v>379</v>
      </c>
      <c r="B23" s="30"/>
      <c r="C23" s="57"/>
      <c r="D23" s="86"/>
      <c r="E23" s="86"/>
      <c r="F23" s="86"/>
      <c r="G23" s="86"/>
      <c r="H23" s="86"/>
      <c r="I23" s="86"/>
      <c r="J23" s="86"/>
      <c r="K23" s="86"/>
      <c r="L23" s="86"/>
      <c r="M23" s="86"/>
      <c r="N23" s="86"/>
      <c r="O23" s="33"/>
      <c r="P23" s="422" t="str">
        <f>A23</f>
        <v>CONSULTANTS &amp; CONTRACTORS</v>
      </c>
      <c r="Q23" s="30"/>
      <c r="R23" s="57"/>
      <c r="S23" s="86"/>
      <c r="T23" s="86"/>
      <c r="U23" s="86"/>
      <c r="V23" s="86"/>
      <c r="W23" s="86"/>
      <c r="X23" s="86"/>
      <c r="Y23" s="86"/>
      <c r="Z23" s="86"/>
      <c r="AA23" s="86"/>
      <c r="AB23" s="86"/>
      <c r="AC23" s="86"/>
      <c r="AD23" s="33"/>
    </row>
    <row r="24" spans="1:30" ht="18">
      <c r="A24" s="32" t="s">
        <v>566</v>
      </c>
      <c r="B24" s="329"/>
      <c r="C24" s="601">
        <v>0</v>
      </c>
      <c r="D24" s="602">
        <f aca="true" t="shared" si="26" ref="D24:N25">+C24</f>
        <v>0</v>
      </c>
      <c r="E24" s="602">
        <f t="shared" si="26"/>
        <v>0</v>
      </c>
      <c r="F24" s="602">
        <f t="shared" si="26"/>
        <v>0</v>
      </c>
      <c r="G24" s="602">
        <f>+F24</f>
        <v>0</v>
      </c>
      <c r="H24" s="602">
        <f>+G24</f>
        <v>0</v>
      </c>
      <c r="I24" s="602">
        <f t="shared" si="26"/>
        <v>0</v>
      </c>
      <c r="J24" s="602">
        <f t="shared" si="26"/>
        <v>0</v>
      </c>
      <c r="K24" s="602">
        <f t="shared" si="26"/>
        <v>0</v>
      </c>
      <c r="L24" s="602">
        <f t="shared" si="26"/>
        <v>0</v>
      </c>
      <c r="M24" s="602">
        <f t="shared" si="26"/>
        <v>0</v>
      </c>
      <c r="N24" s="603">
        <f t="shared" si="26"/>
        <v>0</v>
      </c>
      <c r="O24" s="481">
        <f>SUM(C24:N24)</f>
        <v>0</v>
      </c>
      <c r="P24" s="42" t="str">
        <f>IF(A24="","",+A24)</f>
        <v>Accountant</v>
      </c>
      <c r="Q24" s="329"/>
      <c r="R24" s="252">
        <f>+N24</f>
        <v>0</v>
      </c>
      <c r="S24" s="252">
        <f aca="true" t="shared" si="27" ref="S24:AC24">+R24</f>
        <v>0</v>
      </c>
      <c r="T24" s="252">
        <f t="shared" si="27"/>
        <v>0</v>
      </c>
      <c r="U24" s="252">
        <f t="shared" si="27"/>
        <v>0</v>
      </c>
      <c r="V24" s="252">
        <f t="shared" si="27"/>
        <v>0</v>
      </c>
      <c r="W24" s="252">
        <f t="shared" si="27"/>
        <v>0</v>
      </c>
      <c r="X24" s="252">
        <f t="shared" si="27"/>
        <v>0</v>
      </c>
      <c r="Y24" s="252">
        <f t="shared" si="27"/>
        <v>0</v>
      </c>
      <c r="Z24" s="252">
        <f t="shared" si="27"/>
        <v>0</v>
      </c>
      <c r="AA24" s="252">
        <f t="shared" si="27"/>
        <v>0</v>
      </c>
      <c r="AB24" s="252">
        <f t="shared" si="27"/>
        <v>0</v>
      </c>
      <c r="AC24" s="252">
        <f t="shared" si="27"/>
        <v>0</v>
      </c>
      <c r="AD24" s="481">
        <f>SUM(R24:AC24)</f>
        <v>0</v>
      </c>
    </row>
    <row r="25" spans="1:30" ht="18">
      <c r="A25" s="34" t="s">
        <v>395</v>
      </c>
      <c r="B25" s="421"/>
      <c r="C25" s="258">
        <v>0</v>
      </c>
      <c r="D25" s="252">
        <f t="shared" si="26"/>
        <v>0</v>
      </c>
      <c r="E25" s="252">
        <f t="shared" si="26"/>
        <v>0</v>
      </c>
      <c r="F25" s="252">
        <f t="shared" si="26"/>
        <v>0</v>
      </c>
      <c r="G25" s="252">
        <f t="shared" si="26"/>
        <v>0</v>
      </c>
      <c r="H25" s="252">
        <f t="shared" si="26"/>
        <v>0</v>
      </c>
      <c r="I25" s="252">
        <f>+H25</f>
        <v>0</v>
      </c>
      <c r="J25" s="252">
        <f t="shared" si="26"/>
        <v>0</v>
      </c>
      <c r="K25" s="252">
        <f t="shared" si="26"/>
        <v>0</v>
      </c>
      <c r="L25" s="252">
        <f t="shared" si="26"/>
        <v>0</v>
      </c>
      <c r="M25" s="252">
        <f t="shared" si="26"/>
        <v>0</v>
      </c>
      <c r="N25" s="259">
        <f t="shared" si="26"/>
        <v>0</v>
      </c>
      <c r="O25" s="254">
        <f>SUM(C25:N25)</f>
        <v>0</v>
      </c>
      <c r="P25" s="47" t="str">
        <f>IF(A25="","",+A25)</f>
        <v>Consultant #2</v>
      </c>
      <c r="Q25" s="421"/>
      <c r="R25" s="258">
        <f>+N25</f>
        <v>0</v>
      </c>
      <c r="S25" s="252">
        <f aca="true" t="shared" si="28" ref="S25:AC25">+R25</f>
        <v>0</v>
      </c>
      <c r="T25" s="252">
        <f t="shared" si="28"/>
        <v>0</v>
      </c>
      <c r="U25" s="252">
        <f t="shared" si="28"/>
        <v>0</v>
      </c>
      <c r="V25" s="252">
        <f t="shared" si="28"/>
        <v>0</v>
      </c>
      <c r="W25" s="252">
        <f t="shared" si="28"/>
        <v>0</v>
      </c>
      <c r="X25" s="252">
        <f t="shared" si="28"/>
        <v>0</v>
      </c>
      <c r="Y25" s="252">
        <f t="shared" si="28"/>
        <v>0</v>
      </c>
      <c r="Z25" s="252">
        <f t="shared" si="28"/>
        <v>0</v>
      </c>
      <c r="AA25" s="252">
        <f t="shared" si="28"/>
        <v>0</v>
      </c>
      <c r="AB25" s="252">
        <f t="shared" si="28"/>
        <v>0</v>
      </c>
      <c r="AC25" s="259">
        <f t="shared" si="28"/>
        <v>0</v>
      </c>
      <c r="AD25" s="254">
        <f>SUM(R25:AC25)</f>
        <v>0</v>
      </c>
    </row>
    <row r="26" spans="1:30" ht="18">
      <c r="A26" s="42" t="s">
        <v>380</v>
      </c>
      <c r="B26" s="164"/>
      <c r="C26" s="255">
        <f aca="true" t="shared" si="29" ref="C26:N26">SUM(C24:C25)</f>
        <v>0</v>
      </c>
      <c r="D26" s="256">
        <f t="shared" si="29"/>
        <v>0</v>
      </c>
      <c r="E26" s="256">
        <f t="shared" si="29"/>
        <v>0</v>
      </c>
      <c r="F26" s="256">
        <f t="shared" si="29"/>
        <v>0</v>
      </c>
      <c r="G26" s="256">
        <f t="shared" si="29"/>
        <v>0</v>
      </c>
      <c r="H26" s="256">
        <f t="shared" si="29"/>
        <v>0</v>
      </c>
      <c r="I26" s="256">
        <f t="shared" si="29"/>
        <v>0</v>
      </c>
      <c r="J26" s="256">
        <f t="shared" si="29"/>
        <v>0</v>
      </c>
      <c r="K26" s="256">
        <f t="shared" si="29"/>
        <v>0</v>
      </c>
      <c r="L26" s="256">
        <f t="shared" si="29"/>
        <v>0</v>
      </c>
      <c r="M26" s="256">
        <f t="shared" si="29"/>
        <v>0</v>
      </c>
      <c r="N26" s="257">
        <f t="shared" si="29"/>
        <v>0</v>
      </c>
      <c r="O26" s="483">
        <f>SUM(C26:N26)</f>
        <v>0</v>
      </c>
      <c r="P26" s="42" t="str">
        <f>+A26</f>
        <v>Total Consultants</v>
      </c>
      <c r="Q26" s="164"/>
      <c r="R26" s="255">
        <f aca="true" t="shared" si="30" ref="R26:AC26">SUM(R24:R25)</f>
        <v>0</v>
      </c>
      <c r="S26" s="256">
        <f t="shared" si="30"/>
        <v>0</v>
      </c>
      <c r="T26" s="256">
        <f t="shared" si="30"/>
        <v>0</v>
      </c>
      <c r="U26" s="256">
        <f t="shared" si="30"/>
        <v>0</v>
      </c>
      <c r="V26" s="256">
        <f t="shared" si="30"/>
        <v>0</v>
      </c>
      <c r="W26" s="256">
        <f t="shared" si="30"/>
        <v>0</v>
      </c>
      <c r="X26" s="256">
        <f t="shared" si="30"/>
        <v>0</v>
      </c>
      <c r="Y26" s="256">
        <f t="shared" si="30"/>
        <v>0</v>
      </c>
      <c r="Z26" s="256">
        <f t="shared" si="30"/>
        <v>0</v>
      </c>
      <c r="AA26" s="256">
        <f t="shared" si="30"/>
        <v>0</v>
      </c>
      <c r="AB26" s="256">
        <f t="shared" si="30"/>
        <v>0</v>
      </c>
      <c r="AC26" s="257">
        <f t="shared" si="30"/>
        <v>0</v>
      </c>
      <c r="AD26" s="483">
        <f>SUM(R26:AC26)</f>
        <v>0</v>
      </c>
    </row>
    <row r="27" spans="1:30" ht="18">
      <c r="A27" s="42"/>
      <c r="B27" s="30"/>
      <c r="C27" s="482"/>
      <c r="D27" s="482"/>
      <c r="E27" s="482"/>
      <c r="F27" s="482"/>
      <c r="G27" s="482"/>
      <c r="H27" s="482"/>
      <c r="I27" s="482"/>
      <c r="J27" s="482"/>
      <c r="K27" s="482"/>
      <c r="L27" s="482"/>
      <c r="M27" s="482"/>
      <c r="N27" s="482"/>
      <c r="O27" s="251"/>
      <c r="P27" s="42"/>
      <c r="Q27" s="30"/>
      <c r="R27" s="482"/>
      <c r="S27" s="482"/>
      <c r="T27" s="482"/>
      <c r="U27" s="482"/>
      <c r="V27" s="482"/>
      <c r="W27" s="482"/>
      <c r="X27" s="482"/>
      <c r="Y27" s="482"/>
      <c r="Z27" s="482"/>
      <c r="AA27" s="482"/>
      <c r="AB27" s="482"/>
      <c r="AC27" s="482"/>
      <c r="AD27" s="251"/>
    </row>
    <row r="28" spans="1:30" ht="18">
      <c r="A28" s="43" t="s">
        <v>135</v>
      </c>
      <c r="B28" s="30"/>
      <c r="C28" s="255">
        <f aca="true" t="shared" si="31" ref="C28:N28">C21+C26</f>
        <v>0</v>
      </c>
      <c r="D28" s="256">
        <f t="shared" si="31"/>
        <v>0</v>
      </c>
      <c r="E28" s="256">
        <f t="shared" si="31"/>
        <v>0</v>
      </c>
      <c r="F28" s="256">
        <f t="shared" si="31"/>
        <v>0</v>
      </c>
      <c r="G28" s="256">
        <f t="shared" si="31"/>
        <v>0</v>
      </c>
      <c r="H28" s="256">
        <f t="shared" si="31"/>
        <v>0</v>
      </c>
      <c r="I28" s="256">
        <f t="shared" si="31"/>
        <v>0</v>
      </c>
      <c r="J28" s="256">
        <f t="shared" si="31"/>
        <v>0</v>
      </c>
      <c r="K28" s="256">
        <f t="shared" si="31"/>
        <v>0</v>
      </c>
      <c r="L28" s="256">
        <f t="shared" si="31"/>
        <v>0</v>
      </c>
      <c r="M28" s="256">
        <f t="shared" si="31"/>
        <v>0</v>
      </c>
      <c r="N28" s="257">
        <f t="shared" si="31"/>
        <v>0</v>
      </c>
      <c r="O28" s="251">
        <f>SUM(C28:N28)</f>
        <v>0</v>
      </c>
      <c r="P28" s="43" t="str">
        <f>A28</f>
        <v>Total Headcount</v>
      </c>
      <c r="Q28" s="30"/>
      <c r="R28" s="255">
        <f aca="true" t="shared" si="32" ref="R28:AC28">R21+R26</f>
        <v>0</v>
      </c>
      <c r="S28" s="256">
        <f t="shared" si="32"/>
        <v>0</v>
      </c>
      <c r="T28" s="256">
        <f t="shared" si="32"/>
        <v>0</v>
      </c>
      <c r="U28" s="256">
        <f t="shared" si="32"/>
        <v>0</v>
      </c>
      <c r="V28" s="256">
        <f t="shared" si="32"/>
        <v>0</v>
      </c>
      <c r="W28" s="256">
        <f t="shared" si="32"/>
        <v>0</v>
      </c>
      <c r="X28" s="256">
        <f t="shared" si="32"/>
        <v>0</v>
      </c>
      <c r="Y28" s="256">
        <f t="shared" si="32"/>
        <v>0</v>
      </c>
      <c r="Z28" s="256">
        <f t="shared" si="32"/>
        <v>0</v>
      </c>
      <c r="AA28" s="256">
        <f t="shared" si="32"/>
        <v>0</v>
      </c>
      <c r="AB28" s="256">
        <f t="shared" si="32"/>
        <v>0</v>
      </c>
      <c r="AC28" s="257">
        <f t="shared" si="32"/>
        <v>0</v>
      </c>
      <c r="AD28" s="251">
        <f>SUM(R28:AC28)</f>
        <v>0</v>
      </c>
    </row>
    <row r="29" spans="1:30" ht="20.25">
      <c r="A29" s="464"/>
      <c r="B29" s="260"/>
      <c r="C29" s="31"/>
      <c r="D29" s="31"/>
      <c r="E29" s="31"/>
      <c r="F29" s="31"/>
      <c r="G29" s="31"/>
      <c r="H29" s="31"/>
      <c r="I29" s="31"/>
      <c r="J29" s="31"/>
      <c r="K29" s="31"/>
      <c r="L29" s="31"/>
      <c r="M29" s="31"/>
      <c r="N29" s="31"/>
      <c r="O29" s="30"/>
      <c r="P29" s="464"/>
      <c r="Q29" s="260"/>
      <c r="R29" s="31"/>
      <c r="S29" s="31"/>
      <c r="T29" s="31"/>
      <c r="U29" s="31"/>
      <c r="V29" s="31"/>
      <c r="W29" s="31"/>
      <c r="X29" s="31"/>
      <c r="Y29" s="31"/>
      <c r="Z29" s="31"/>
      <c r="AA29" s="31"/>
      <c r="AB29" s="31"/>
      <c r="AC29" s="31"/>
      <c r="AD29" s="30"/>
    </row>
    <row r="30" spans="1:29" ht="20.25">
      <c r="A30" s="464"/>
      <c r="B30" s="465" t="s">
        <v>2</v>
      </c>
      <c r="C30" s="31"/>
      <c r="D30" s="31"/>
      <c r="E30" s="31"/>
      <c r="F30" s="31"/>
      <c r="G30" s="31"/>
      <c r="H30" s="31"/>
      <c r="I30" s="31"/>
      <c r="J30" s="31"/>
      <c r="K30" s="31"/>
      <c r="L30" s="31"/>
      <c r="M30" s="31"/>
      <c r="N30" s="31"/>
      <c r="P30" s="464"/>
      <c r="Q30" s="465" t="str">
        <f>+B30</f>
        <v>Annual</v>
      </c>
      <c r="R30" s="31"/>
      <c r="S30" s="31"/>
      <c r="T30" s="31"/>
      <c r="U30" s="31"/>
      <c r="V30" s="31"/>
      <c r="W30" s="31"/>
      <c r="X30" s="31"/>
      <c r="Y30" s="31"/>
      <c r="Z30" s="31"/>
      <c r="AA30" s="31"/>
      <c r="AB30" s="31"/>
      <c r="AC30" s="31"/>
    </row>
    <row r="31" spans="1:30" ht="20.25">
      <c r="A31" s="514" t="s">
        <v>422</v>
      </c>
      <c r="B31" s="524" t="s">
        <v>136</v>
      </c>
      <c r="C31" s="46"/>
      <c r="D31" s="46"/>
      <c r="E31" s="46"/>
      <c r="F31" s="46"/>
      <c r="G31" s="46"/>
      <c r="H31" s="46"/>
      <c r="I31" s="46"/>
      <c r="J31" s="46"/>
      <c r="K31" s="46"/>
      <c r="L31" s="46"/>
      <c r="M31" s="46"/>
      <c r="N31" s="46"/>
      <c r="O31" s="495"/>
      <c r="P31" s="514" t="str">
        <f aca="true" t="shared" si="33" ref="P31:P47">IF(A31="","",+A31)</f>
        <v>HEADCOUNT SALARIES</v>
      </c>
      <c r="Q31" s="158" t="str">
        <f>+B31</f>
        <v>Salary</v>
      </c>
      <c r="R31" s="46"/>
      <c r="S31" s="46"/>
      <c r="T31" s="46"/>
      <c r="U31" s="46"/>
      <c r="V31" s="46"/>
      <c r="W31" s="46"/>
      <c r="X31" s="46"/>
      <c r="Y31" s="46"/>
      <c r="Z31" s="46"/>
      <c r="AA31" s="46"/>
      <c r="AB31" s="46"/>
      <c r="AC31" s="46"/>
      <c r="AD31" s="495"/>
    </row>
    <row r="32" spans="1:30" ht="18">
      <c r="A32" s="42" t="str">
        <f aca="true" t="shared" si="34" ref="A32:A45">IF(+A7="","",+A7)</f>
        <v>President</v>
      </c>
      <c r="B32" s="294">
        <v>0</v>
      </c>
      <c r="C32" s="45">
        <f aca="true" t="shared" si="35" ref="C32:C45">IF(C7=0,0,IF(C7&gt;0,IF($B32=0,"SALARY?",C7*($B32/12))))</f>
        <v>0</v>
      </c>
      <c r="D32" s="45">
        <f aca="true" t="shared" si="36" ref="D32:N32">IF(D7=0,0,IF(D7&gt;0,IF($B32=0,"SALARY?",IF(D7&gt;C7,D7*($B32/12),IF(D7&lt;C7,D7*($B32/12),IF(C32&gt;($B32/12),C32,D7*($B32/12)))))))</f>
        <v>0</v>
      </c>
      <c r="E32" s="45">
        <f t="shared" si="36"/>
        <v>0</v>
      </c>
      <c r="F32" s="45">
        <f t="shared" si="36"/>
        <v>0</v>
      </c>
      <c r="G32" s="45">
        <f t="shared" si="36"/>
        <v>0</v>
      </c>
      <c r="H32" s="45">
        <f t="shared" si="36"/>
        <v>0</v>
      </c>
      <c r="I32" s="45">
        <f t="shared" si="36"/>
        <v>0</v>
      </c>
      <c r="J32" s="45">
        <f t="shared" si="36"/>
        <v>0</v>
      </c>
      <c r="K32" s="45">
        <f t="shared" si="36"/>
        <v>0</v>
      </c>
      <c r="L32" s="45">
        <f t="shared" si="36"/>
        <v>0</v>
      </c>
      <c r="M32" s="45">
        <f t="shared" si="36"/>
        <v>0</v>
      </c>
      <c r="N32" s="45">
        <f t="shared" si="36"/>
        <v>0</v>
      </c>
      <c r="O32" s="494">
        <f aca="true" t="shared" si="37" ref="O32:O46">SUM(C32:N32)</f>
        <v>0</v>
      </c>
      <c r="P32" s="42" t="str">
        <f t="shared" si="33"/>
        <v>President</v>
      </c>
      <c r="Q32" s="324">
        <f>+B32</f>
        <v>0</v>
      </c>
      <c r="R32" s="45">
        <f aca="true" t="shared" si="38" ref="R32:R45">IF(R7=0,0,IF(R7&gt;0,IF($Q32=0,"SALARY?",R7*($Q32/12))))</f>
        <v>0</v>
      </c>
      <c r="S32" s="45">
        <f aca="true" t="shared" si="39" ref="S32:AC32">IF(S7=0,0,IF(S7&gt;0,IF($Q32=0,"SALARY?",IF(S7&gt;R7,S7*($Q32/12),IF(S7&lt;R7,S7*($Q32/12),IF(R32&gt;($Q32/12),R32,S7*($Q32/12)))))))</f>
        <v>0</v>
      </c>
      <c r="T32" s="45">
        <f t="shared" si="39"/>
        <v>0</v>
      </c>
      <c r="U32" s="45">
        <f t="shared" si="39"/>
        <v>0</v>
      </c>
      <c r="V32" s="45">
        <f t="shared" si="39"/>
        <v>0</v>
      </c>
      <c r="W32" s="45">
        <f t="shared" si="39"/>
        <v>0</v>
      </c>
      <c r="X32" s="45">
        <f t="shared" si="39"/>
        <v>0</v>
      </c>
      <c r="Y32" s="45">
        <f t="shared" si="39"/>
        <v>0</v>
      </c>
      <c r="Z32" s="45">
        <f t="shared" si="39"/>
        <v>0</v>
      </c>
      <c r="AA32" s="45">
        <f t="shared" si="39"/>
        <v>0</v>
      </c>
      <c r="AB32" s="45">
        <f t="shared" si="39"/>
        <v>0</v>
      </c>
      <c r="AC32" s="45">
        <f t="shared" si="39"/>
        <v>0</v>
      </c>
      <c r="AD32" s="494">
        <f aca="true" t="shared" si="40" ref="AD32:AD46">SUM(R32:AC32)</f>
        <v>0</v>
      </c>
    </row>
    <row r="33" spans="1:30" ht="18">
      <c r="A33" s="42" t="str">
        <f t="shared" si="34"/>
        <v>Vice President</v>
      </c>
      <c r="B33" s="294">
        <v>0</v>
      </c>
      <c r="C33" s="45">
        <f t="shared" si="35"/>
        <v>0</v>
      </c>
      <c r="D33" s="45">
        <f aca="true" t="shared" si="41" ref="D33:N33">IF(D8=0,0,IF(D8&gt;0,IF($B33=0,"SALARY?",IF(D8&gt;C8,D8*($B33/12),IF(D8&lt;C8,D8*($B33/12),IF(C33&gt;($B33/12),C33,D8*($B33/12)))))))</f>
        <v>0</v>
      </c>
      <c r="E33" s="45">
        <f t="shared" si="41"/>
        <v>0</v>
      </c>
      <c r="F33" s="45">
        <f t="shared" si="41"/>
        <v>0</v>
      </c>
      <c r="G33" s="45">
        <f t="shared" si="41"/>
        <v>0</v>
      </c>
      <c r="H33" s="45">
        <f t="shared" si="41"/>
        <v>0</v>
      </c>
      <c r="I33" s="45">
        <f t="shared" si="41"/>
        <v>0</v>
      </c>
      <c r="J33" s="45">
        <f t="shared" si="41"/>
        <v>0</v>
      </c>
      <c r="K33" s="45">
        <f t="shared" si="41"/>
        <v>0</v>
      </c>
      <c r="L33" s="45">
        <f t="shared" si="41"/>
        <v>0</v>
      </c>
      <c r="M33" s="45">
        <f t="shared" si="41"/>
        <v>0</v>
      </c>
      <c r="N33" s="45">
        <f t="shared" si="41"/>
        <v>0</v>
      </c>
      <c r="O33" s="494">
        <f t="shared" si="37"/>
        <v>0</v>
      </c>
      <c r="P33" s="42" t="str">
        <f>IF(A33="","",+A33)</f>
        <v>Vice President</v>
      </c>
      <c r="Q33" s="324">
        <f aca="true" t="shared" si="42" ref="Q33:Q45">+B33</f>
        <v>0</v>
      </c>
      <c r="R33" s="45">
        <f t="shared" si="38"/>
        <v>0</v>
      </c>
      <c r="S33" s="45">
        <f aca="true" t="shared" si="43" ref="S33:AC33">IF(S8=0,0,IF(S8&gt;0,IF($Q33=0,"SALARY?",IF(S8&gt;R8,S8*($Q33/12),IF(S8&lt;R8,S8*($Q33/12),IF(R33&gt;($Q33/12),R33,S8*($Q33/12)))))))</f>
        <v>0</v>
      </c>
      <c r="T33" s="45">
        <f t="shared" si="43"/>
        <v>0</v>
      </c>
      <c r="U33" s="45">
        <f t="shared" si="43"/>
        <v>0</v>
      </c>
      <c r="V33" s="45">
        <f t="shared" si="43"/>
        <v>0</v>
      </c>
      <c r="W33" s="45">
        <f t="shared" si="43"/>
        <v>0</v>
      </c>
      <c r="X33" s="45">
        <f t="shared" si="43"/>
        <v>0</v>
      </c>
      <c r="Y33" s="45">
        <f t="shared" si="43"/>
        <v>0</v>
      </c>
      <c r="Z33" s="45">
        <f t="shared" si="43"/>
        <v>0</v>
      </c>
      <c r="AA33" s="45">
        <f t="shared" si="43"/>
        <v>0</v>
      </c>
      <c r="AB33" s="45">
        <f t="shared" si="43"/>
        <v>0</v>
      </c>
      <c r="AC33" s="45">
        <f t="shared" si="43"/>
        <v>0</v>
      </c>
      <c r="AD33" s="494">
        <f t="shared" si="40"/>
        <v>0</v>
      </c>
    </row>
    <row r="34" spans="1:30" ht="18">
      <c r="A34" s="42" t="str">
        <f t="shared" si="34"/>
        <v>Chief Financial Officer</v>
      </c>
      <c r="B34" s="294">
        <v>0</v>
      </c>
      <c r="C34" s="45">
        <f t="shared" si="35"/>
        <v>0</v>
      </c>
      <c r="D34" s="45">
        <f aca="true" t="shared" si="44" ref="D34:N34">IF(D9=0,0,IF(D9&gt;0,IF($B34=0,"SALARY?",IF(D9&gt;C9,D9*($B34/12),IF(D9&lt;C9,D9*($B34/12),IF(C34&gt;($B34/12),C34,D9*($B34/12)))))))</f>
        <v>0</v>
      </c>
      <c r="E34" s="45">
        <f t="shared" si="44"/>
        <v>0</v>
      </c>
      <c r="F34" s="45">
        <f t="shared" si="44"/>
        <v>0</v>
      </c>
      <c r="G34" s="45">
        <f t="shared" si="44"/>
        <v>0</v>
      </c>
      <c r="H34" s="45">
        <f t="shared" si="44"/>
        <v>0</v>
      </c>
      <c r="I34" s="45">
        <f t="shared" si="44"/>
        <v>0</v>
      </c>
      <c r="J34" s="45">
        <f t="shared" si="44"/>
        <v>0</v>
      </c>
      <c r="K34" s="45">
        <f t="shared" si="44"/>
        <v>0</v>
      </c>
      <c r="L34" s="45">
        <f t="shared" si="44"/>
        <v>0</v>
      </c>
      <c r="M34" s="45">
        <f t="shared" si="44"/>
        <v>0</v>
      </c>
      <c r="N34" s="45">
        <f t="shared" si="44"/>
        <v>0</v>
      </c>
      <c r="O34" s="494">
        <f t="shared" si="37"/>
        <v>0</v>
      </c>
      <c r="P34" s="42" t="str">
        <f t="shared" si="33"/>
        <v>Chief Financial Officer</v>
      </c>
      <c r="Q34" s="324">
        <f t="shared" si="42"/>
        <v>0</v>
      </c>
      <c r="R34" s="45">
        <f t="shared" si="38"/>
        <v>0</v>
      </c>
      <c r="S34" s="45">
        <f aca="true" t="shared" si="45" ref="S34:AC34">IF(S9=0,0,IF(S9&gt;0,IF($Q34=0,"SALARY?",IF(S9&gt;R9,S9*($Q34/12),IF(S9&lt;R9,S9*($Q34/12),IF(R34&gt;($Q34/12),R34,S9*($Q34/12)))))))</f>
        <v>0</v>
      </c>
      <c r="T34" s="45">
        <f t="shared" si="45"/>
        <v>0</v>
      </c>
      <c r="U34" s="45">
        <f t="shared" si="45"/>
        <v>0</v>
      </c>
      <c r="V34" s="45">
        <f t="shared" si="45"/>
        <v>0</v>
      </c>
      <c r="W34" s="45">
        <f t="shared" si="45"/>
        <v>0</v>
      </c>
      <c r="X34" s="45">
        <f t="shared" si="45"/>
        <v>0</v>
      </c>
      <c r="Y34" s="45">
        <f t="shared" si="45"/>
        <v>0</v>
      </c>
      <c r="Z34" s="45">
        <f t="shared" si="45"/>
        <v>0</v>
      </c>
      <c r="AA34" s="45">
        <f t="shared" si="45"/>
        <v>0</v>
      </c>
      <c r="AB34" s="45">
        <f t="shared" si="45"/>
        <v>0</v>
      </c>
      <c r="AC34" s="45">
        <f t="shared" si="45"/>
        <v>0</v>
      </c>
      <c r="AD34" s="494">
        <f t="shared" si="40"/>
        <v>0</v>
      </c>
    </row>
    <row r="35" spans="1:30" ht="18">
      <c r="A35" s="42" t="str">
        <f t="shared" si="34"/>
        <v>Administrator</v>
      </c>
      <c r="B35" s="294">
        <v>0</v>
      </c>
      <c r="C35" s="45">
        <f t="shared" si="35"/>
        <v>0</v>
      </c>
      <c r="D35" s="45">
        <f aca="true" t="shared" si="46" ref="D35:N35">IF(D10=0,0,IF(D10&gt;0,IF($B35=0,"SALARY?",IF(D10&gt;C10,D10*($B35/12),IF(D10&lt;C10,D10*($B35/12),IF(C35&gt;($B35/12),C35,D10*($B35/12)))))))</f>
        <v>0</v>
      </c>
      <c r="E35" s="45">
        <f t="shared" si="46"/>
        <v>0</v>
      </c>
      <c r="F35" s="45">
        <f t="shared" si="46"/>
        <v>0</v>
      </c>
      <c r="G35" s="45">
        <f t="shared" si="46"/>
        <v>0</v>
      </c>
      <c r="H35" s="45">
        <f t="shared" si="46"/>
        <v>0</v>
      </c>
      <c r="I35" s="45">
        <f t="shared" si="46"/>
        <v>0</v>
      </c>
      <c r="J35" s="45">
        <f t="shared" si="46"/>
        <v>0</v>
      </c>
      <c r="K35" s="45">
        <f t="shared" si="46"/>
        <v>0</v>
      </c>
      <c r="L35" s="45">
        <f t="shared" si="46"/>
        <v>0</v>
      </c>
      <c r="M35" s="45">
        <f t="shared" si="46"/>
        <v>0</v>
      </c>
      <c r="N35" s="45">
        <f t="shared" si="46"/>
        <v>0</v>
      </c>
      <c r="O35" s="494">
        <f t="shared" si="37"/>
        <v>0</v>
      </c>
      <c r="P35" s="42" t="str">
        <f t="shared" si="33"/>
        <v>Administrator</v>
      </c>
      <c r="Q35" s="324">
        <f t="shared" si="42"/>
        <v>0</v>
      </c>
      <c r="R35" s="45">
        <f t="shared" si="38"/>
        <v>0</v>
      </c>
      <c r="S35" s="45">
        <f aca="true" t="shared" si="47" ref="S35:AC35">IF(S10=0,0,IF(S10&gt;0,IF($Q35=0,"SALARY?",IF(S10&gt;R10,S10*($Q35/12),IF(S10&lt;R10,S10*($Q35/12),IF(R35&gt;($Q35/12),R35,S10*($Q35/12)))))))</f>
        <v>0</v>
      </c>
      <c r="T35" s="45">
        <f t="shared" si="47"/>
        <v>0</v>
      </c>
      <c r="U35" s="45">
        <f t="shared" si="47"/>
        <v>0</v>
      </c>
      <c r="V35" s="45">
        <f t="shared" si="47"/>
        <v>0</v>
      </c>
      <c r="W35" s="45">
        <f t="shared" si="47"/>
        <v>0</v>
      </c>
      <c r="X35" s="45">
        <f t="shared" si="47"/>
        <v>0</v>
      </c>
      <c r="Y35" s="45">
        <f t="shared" si="47"/>
        <v>0</v>
      </c>
      <c r="Z35" s="45">
        <f t="shared" si="47"/>
        <v>0</v>
      </c>
      <c r="AA35" s="45">
        <f t="shared" si="47"/>
        <v>0</v>
      </c>
      <c r="AB35" s="45">
        <f t="shared" si="47"/>
        <v>0</v>
      </c>
      <c r="AC35" s="45">
        <f t="shared" si="47"/>
        <v>0</v>
      </c>
      <c r="AD35" s="494">
        <f t="shared" si="40"/>
        <v>0</v>
      </c>
    </row>
    <row r="36" spans="1:30" ht="18">
      <c r="A36" s="42" t="str">
        <f t="shared" si="34"/>
        <v>Production Supervisor</v>
      </c>
      <c r="B36" s="294">
        <v>0</v>
      </c>
      <c r="C36" s="45">
        <f t="shared" si="35"/>
        <v>0</v>
      </c>
      <c r="D36" s="45">
        <f aca="true" t="shared" si="48" ref="D36:N36">IF(D11=0,0,IF(D11&gt;0,IF($B36=0,"SALARY?",IF(D11&gt;C11,D11*($B36/12),IF(D11&lt;C11,D11*($B36/12),IF(C36&gt;($B36/12),C36,D11*($B36/12)))))))</f>
        <v>0</v>
      </c>
      <c r="E36" s="45">
        <f t="shared" si="48"/>
        <v>0</v>
      </c>
      <c r="F36" s="45">
        <f t="shared" si="48"/>
        <v>0</v>
      </c>
      <c r="G36" s="45">
        <f t="shared" si="48"/>
        <v>0</v>
      </c>
      <c r="H36" s="45">
        <f t="shared" si="48"/>
        <v>0</v>
      </c>
      <c r="I36" s="45">
        <f t="shared" si="48"/>
        <v>0</v>
      </c>
      <c r="J36" s="45">
        <f t="shared" si="48"/>
        <v>0</v>
      </c>
      <c r="K36" s="45">
        <f t="shared" si="48"/>
        <v>0</v>
      </c>
      <c r="L36" s="45">
        <f t="shared" si="48"/>
        <v>0</v>
      </c>
      <c r="M36" s="45">
        <f t="shared" si="48"/>
        <v>0</v>
      </c>
      <c r="N36" s="45">
        <f t="shared" si="48"/>
        <v>0</v>
      </c>
      <c r="O36" s="494">
        <f t="shared" si="37"/>
        <v>0</v>
      </c>
      <c r="P36" s="42" t="str">
        <f t="shared" si="33"/>
        <v>Production Supervisor</v>
      </c>
      <c r="Q36" s="324">
        <f t="shared" si="42"/>
        <v>0</v>
      </c>
      <c r="R36" s="45">
        <f t="shared" si="38"/>
        <v>0</v>
      </c>
      <c r="S36" s="45">
        <f aca="true" t="shared" si="49" ref="S36:AC36">IF(S11=0,0,IF(S11&gt;0,IF($Q36=0,"SALARY?",IF(S11&gt;R11,S11*($Q36/12),IF(S11&lt;R11,S11*($Q36/12),IF(R36&gt;($Q36/12),R36,S11*($Q36/12)))))))</f>
        <v>0</v>
      </c>
      <c r="T36" s="45">
        <f t="shared" si="49"/>
        <v>0</v>
      </c>
      <c r="U36" s="45">
        <f t="shared" si="49"/>
        <v>0</v>
      </c>
      <c r="V36" s="45">
        <f t="shared" si="49"/>
        <v>0</v>
      </c>
      <c r="W36" s="45">
        <f t="shared" si="49"/>
        <v>0</v>
      </c>
      <c r="X36" s="45">
        <f t="shared" si="49"/>
        <v>0</v>
      </c>
      <c r="Y36" s="45">
        <f t="shared" si="49"/>
        <v>0</v>
      </c>
      <c r="Z36" s="45">
        <f t="shared" si="49"/>
        <v>0</v>
      </c>
      <c r="AA36" s="45">
        <f t="shared" si="49"/>
        <v>0</v>
      </c>
      <c r="AB36" s="45">
        <f t="shared" si="49"/>
        <v>0</v>
      </c>
      <c r="AC36" s="45">
        <f t="shared" si="49"/>
        <v>0</v>
      </c>
      <c r="AD36" s="494">
        <f t="shared" si="40"/>
        <v>0</v>
      </c>
    </row>
    <row r="37" spans="1:30" ht="18">
      <c r="A37" s="42" t="str">
        <f t="shared" si="34"/>
        <v>Production Crew</v>
      </c>
      <c r="B37" s="294">
        <v>0</v>
      </c>
      <c r="C37" s="45">
        <f t="shared" si="35"/>
        <v>0</v>
      </c>
      <c r="D37" s="45">
        <f aca="true" t="shared" si="50" ref="D37:N37">IF(D12=0,0,IF(D12&gt;0,IF($B37=0,"SALARY?",IF(D12&gt;C12,D12*($B37/12),IF(D12&lt;C12,D12*($B37/12),IF(C37&gt;($B37/12),C37,D12*($B37/12)))))))</f>
        <v>0</v>
      </c>
      <c r="E37" s="45">
        <f t="shared" si="50"/>
        <v>0</v>
      </c>
      <c r="F37" s="45">
        <f t="shared" si="50"/>
        <v>0</v>
      </c>
      <c r="G37" s="45">
        <f t="shared" si="50"/>
        <v>0</v>
      </c>
      <c r="H37" s="45">
        <f t="shared" si="50"/>
        <v>0</v>
      </c>
      <c r="I37" s="45">
        <f t="shared" si="50"/>
        <v>0</v>
      </c>
      <c r="J37" s="45">
        <f t="shared" si="50"/>
        <v>0</v>
      </c>
      <c r="K37" s="45">
        <f t="shared" si="50"/>
        <v>0</v>
      </c>
      <c r="L37" s="45">
        <f t="shared" si="50"/>
        <v>0</v>
      </c>
      <c r="M37" s="45">
        <f t="shared" si="50"/>
        <v>0</v>
      </c>
      <c r="N37" s="45">
        <f t="shared" si="50"/>
        <v>0</v>
      </c>
      <c r="O37" s="494">
        <f t="shared" si="37"/>
        <v>0</v>
      </c>
      <c r="P37" s="42" t="str">
        <f t="shared" si="33"/>
        <v>Production Crew</v>
      </c>
      <c r="Q37" s="324">
        <f t="shared" si="42"/>
        <v>0</v>
      </c>
      <c r="R37" s="45">
        <f t="shared" si="38"/>
        <v>0</v>
      </c>
      <c r="S37" s="45">
        <f aca="true" t="shared" si="51" ref="S37:AC37">IF(S12=0,0,IF(S12&gt;0,IF($Q37=0,"SALARY?",IF(S12&gt;R12,S12*($Q37/12),IF(S12&lt;R12,S12*($Q37/12),IF(R37&gt;($Q37/12),R37,S12*($Q37/12)))))))</f>
        <v>0</v>
      </c>
      <c r="T37" s="45">
        <f t="shared" si="51"/>
        <v>0</v>
      </c>
      <c r="U37" s="45">
        <f t="shared" si="51"/>
        <v>0</v>
      </c>
      <c r="V37" s="45">
        <f t="shared" si="51"/>
        <v>0</v>
      </c>
      <c r="W37" s="45">
        <f t="shared" si="51"/>
        <v>0</v>
      </c>
      <c r="X37" s="45">
        <f t="shared" si="51"/>
        <v>0</v>
      </c>
      <c r="Y37" s="45">
        <f t="shared" si="51"/>
        <v>0</v>
      </c>
      <c r="Z37" s="45">
        <f t="shared" si="51"/>
        <v>0</v>
      </c>
      <c r="AA37" s="45">
        <f t="shared" si="51"/>
        <v>0</v>
      </c>
      <c r="AB37" s="45">
        <f t="shared" si="51"/>
        <v>0</v>
      </c>
      <c r="AC37" s="45">
        <f t="shared" si="51"/>
        <v>0</v>
      </c>
      <c r="AD37" s="494">
        <f t="shared" si="40"/>
        <v>0</v>
      </c>
    </row>
    <row r="38" spans="1:30" ht="18">
      <c r="A38" s="42" t="str">
        <f t="shared" si="34"/>
        <v>Other</v>
      </c>
      <c r="B38" s="294">
        <v>0</v>
      </c>
      <c r="C38" s="45">
        <f t="shared" si="35"/>
        <v>0</v>
      </c>
      <c r="D38" s="45">
        <f aca="true" t="shared" si="52" ref="D38:N38">IF(D13=0,0,IF(D13&gt;0,IF($B38=0,"SALARY?",IF(D13&gt;C13,D13*($B38/12),IF(D13&lt;C13,D13*($B38/12),IF(C38&gt;($B38/12),C38,D13*($B38/12)))))))</f>
        <v>0</v>
      </c>
      <c r="E38" s="45">
        <f t="shared" si="52"/>
        <v>0</v>
      </c>
      <c r="F38" s="45">
        <f t="shared" si="52"/>
        <v>0</v>
      </c>
      <c r="G38" s="45">
        <f t="shared" si="52"/>
        <v>0</v>
      </c>
      <c r="H38" s="45">
        <f t="shared" si="52"/>
        <v>0</v>
      </c>
      <c r="I38" s="45">
        <f t="shared" si="52"/>
        <v>0</v>
      </c>
      <c r="J38" s="45">
        <f t="shared" si="52"/>
        <v>0</v>
      </c>
      <c r="K38" s="45">
        <f t="shared" si="52"/>
        <v>0</v>
      </c>
      <c r="L38" s="45">
        <f t="shared" si="52"/>
        <v>0</v>
      </c>
      <c r="M38" s="45">
        <f t="shared" si="52"/>
        <v>0</v>
      </c>
      <c r="N38" s="45">
        <f t="shared" si="52"/>
        <v>0</v>
      </c>
      <c r="O38" s="494">
        <f t="shared" si="37"/>
        <v>0</v>
      </c>
      <c r="P38" s="42" t="str">
        <f t="shared" si="33"/>
        <v>Other</v>
      </c>
      <c r="Q38" s="324">
        <f t="shared" si="42"/>
        <v>0</v>
      </c>
      <c r="R38" s="45">
        <f t="shared" si="38"/>
        <v>0</v>
      </c>
      <c r="S38" s="45">
        <f aca="true" t="shared" si="53" ref="S38:AC38">IF(S13=0,0,IF(S13&gt;0,IF($Q38=0,"SALARY?",IF(S13&gt;R13,S13*($Q38/12),IF(S13&lt;R13,S13*($Q38/12),IF(R38&gt;($Q38/12),R38,S13*($Q38/12)))))))</f>
        <v>0</v>
      </c>
      <c r="T38" s="45">
        <f t="shared" si="53"/>
        <v>0</v>
      </c>
      <c r="U38" s="45">
        <f t="shared" si="53"/>
        <v>0</v>
      </c>
      <c r="V38" s="45">
        <f t="shared" si="53"/>
        <v>0</v>
      </c>
      <c r="W38" s="45">
        <f t="shared" si="53"/>
        <v>0</v>
      </c>
      <c r="X38" s="45">
        <f t="shared" si="53"/>
        <v>0</v>
      </c>
      <c r="Y38" s="45">
        <f t="shared" si="53"/>
        <v>0</v>
      </c>
      <c r="Z38" s="45">
        <f t="shared" si="53"/>
        <v>0</v>
      </c>
      <c r="AA38" s="45">
        <f t="shared" si="53"/>
        <v>0</v>
      </c>
      <c r="AB38" s="45">
        <f t="shared" si="53"/>
        <v>0</v>
      </c>
      <c r="AC38" s="45">
        <f t="shared" si="53"/>
        <v>0</v>
      </c>
      <c r="AD38" s="494">
        <f t="shared" si="40"/>
        <v>0</v>
      </c>
    </row>
    <row r="39" spans="1:30" ht="18" customHeight="1">
      <c r="A39" s="42" t="str">
        <f t="shared" si="34"/>
        <v>Director of Sales</v>
      </c>
      <c r="B39" s="294">
        <v>0</v>
      </c>
      <c r="C39" s="45">
        <f t="shared" si="35"/>
        <v>0</v>
      </c>
      <c r="D39" s="45">
        <f aca="true" t="shared" si="54" ref="D39:N39">IF(D14=0,0,IF(D14&gt;0,IF($B39=0,"SALARY?",IF(D14&gt;C14,D14*($B39/12),IF(D14&lt;C14,D14*($B39/12),IF(C39&gt;($B39/12),C39,D14*($B39/12)))))))</f>
        <v>0</v>
      </c>
      <c r="E39" s="45">
        <f t="shared" si="54"/>
        <v>0</v>
      </c>
      <c r="F39" s="45">
        <f t="shared" si="54"/>
        <v>0</v>
      </c>
      <c r="G39" s="45">
        <f t="shared" si="54"/>
        <v>0</v>
      </c>
      <c r="H39" s="45">
        <f t="shared" si="54"/>
        <v>0</v>
      </c>
      <c r="I39" s="45">
        <f t="shared" si="54"/>
        <v>0</v>
      </c>
      <c r="J39" s="45">
        <f t="shared" si="54"/>
        <v>0</v>
      </c>
      <c r="K39" s="45">
        <f t="shared" si="54"/>
        <v>0</v>
      </c>
      <c r="L39" s="45">
        <f t="shared" si="54"/>
        <v>0</v>
      </c>
      <c r="M39" s="45">
        <f t="shared" si="54"/>
        <v>0</v>
      </c>
      <c r="N39" s="45">
        <f t="shared" si="54"/>
        <v>0</v>
      </c>
      <c r="O39" s="494">
        <f t="shared" si="37"/>
        <v>0</v>
      </c>
      <c r="P39" s="42" t="str">
        <f t="shared" si="33"/>
        <v>Director of Sales</v>
      </c>
      <c r="Q39" s="324">
        <f t="shared" si="42"/>
        <v>0</v>
      </c>
      <c r="R39" s="45">
        <f t="shared" si="38"/>
        <v>0</v>
      </c>
      <c r="S39" s="45">
        <f aca="true" t="shared" si="55" ref="S39:AC39">IF(S14=0,0,IF(S14&gt;0,IF($Q39=0,"SALARY?",IF(S14&gt;R14,S14*($Q39/12),IF(S14&lt;R14,S14*($Q39/12),IF(R39&gt;($Q39/12),R39,S14*($Q39/12)))))))</f>
        <v>0</v>
      </c>
      <c r="T39" s="45">
        <f t="shared" si="55"/>
        <v>0</v>
      </c>
      <c r="U39" s="45">
        <f t="shared" si="55"/>
        <v>0</v>
      </c>
      <c r="V39" s="45">
        <f t="shared" si="55"/>
        <v>0</v>
      </c>
      <c r="W39" s="45">
        <f t="shared" si="55"/>
        <v>0</v>
      </c>
      <c r="X39" s="45">
        <f t="shared" si="55"/>
        <v>0</v>
      </c>
      <c r="Y39" s="45">
        <f t="shared" si="55"/>
        <v>0</v>
      </c>
      <c r="Z39" s="45">
        <f t="shared" si="55"/>
        <v>0</v>
      </c>
      <c r="AA39" s="45">
        <f t="shared" si="55"/>
        <v>0</v>
      </c>
      <c r="AB39" s="45">
        <f t="shared" si="55"/>
        <v>0</v>
      </c>
      <c r="AC39" s="45">
        <f t="shared" si="55"/>
        <v>0</v>
      </c>
      <c r="AD39" s="494">
        <f t="shared" si="40"/>
        <v>0</v>
      </c>
    </row>
    <row r="40" spans="1:30" ht="18">
      <c r="A40" s="42" t="str">
        <f t="shared" si="34"/>
        <v>Sales - West Region</v>
      </c>
      <c r="B40" s="294">
        <v>0</v>
      </c>
      <c r="C40" s="45">
        <f t="shared" si="35"/>
        <v>0</v>
      </c>
      <c r="D40" s="45">
        <f aca="true" t="shared" si="56" ref="D40:N40">IF(D15=0,0,IF(D15&gt;0,IF($B40=0,"SALARY?",IF(D15&gt;C15,D15*($B40/12),IF(D15&lt;C15,D15*($B40/12),IF(C40&gt;($B40/12),C40,D15*($B40/12)))))))</f>
        <v>0</v>
      </c>
      <c r="E40" s="45">
        <f t="shared" si="56"/>
        <v>0</v>
      </c>
      <c r="F40" s="45">
        <f t="shared" si="56"/>
        <v>0</v>
      </c>
      <c r="G40" s="45">
        <f t="shared" si="56"/>
        <v>0</v>
      </c>
      <c r="H40" s="45">
        <f t="shared" si="56"/>
        <v>0</v>
      </c>
      <c r="I40" s="45">
        <f t="shared" si="56"/>
        <v>0</v>
      </c>
      <c r="J40" s="45">
        <f t="shared" si="56"/>
        <v>0</v>
      </c>
      <c r="K40" s="45">
        <f t="shared" si="56"/>
        <v>0</v>
      </c>
      <c r="L40" s="45">
        <f t="shared" si="56"/>
        <v>0</v>
      </c>
      <c r="M40" s="45">
        <f t="shared" si="56"/>
        <v>0</v>
      </c>
      <c r="N40" s="45">
        <f t="shared" si="56"/>
        <v>0</v>
      </c>
      <c r="O40" s="494">
        <f t="shared" si="37"/>
        <v>0</v>
      </c>
      <c r="P40" s="42" t="str">
        <f t="shared" si="33"/>
        <v>Sales - West Region</v>
      </c>
      <c r="Q40" s="324">
        <f t="shared" si="42"/>
        <v>0</v>
      </c>
      <c r="R40" s="45">
        <f t="shared" si="38"/>
        <v>0</v>
      </c>
      <c r="S40" s="45">
        <f aca="true" t="shared" si="57" ref="S40:AC40">IF(S15=0,0,IF(S15&gt;0,IF($Q40=0,"SALARY?",IF(S15&gt;R15,S15*($Q40/12),IF(S15&lt;R15,S15*($Q40/12),IF(R40&gt;($Q40/12),R40,S15*($Q40/12)))))))</f>
        <v>0</v>
      </c>
      <c r="T40" s="45">
        <f t="shared" si="57"/>
        <v>0</v>
      </c>
      <c r="U40" s="45">
        <f t="shared" si="57"/>
        <v>0</v>
      </c>
      <c r="V40" s="45">
        <f t="shared" si="57"/>
        <v>0</v>
      </c>
      <c r="W40" s="45">
        <f t="shared" si="57"/>
        <v>0</v>
      </c>
      <c r="X40" s="45">
        <f t="shared" si="57"/>
        <v>0</v>
      </c>
      <c r="Y40" s="45">
        <f t="shared" si="57"/>
        <v>0</v>
      </c>
      <c r="Z40" s="45">
        <f t="shared" si="57"/>
        <v>0</v>
      </c>
      <c r="AA40" s="45">
        <f t="shared" si="57"/>
        <v>0</v>
      </c>
      <c r="AB40" s="45">
        <f t="shared" si="57"/>
        <v>0</v>
      </c>
      <c r="AC40" s="45">
        <f t="shared" si="57"/>
        <v>0</v>
      </c>
      <c r="AD40" s="494">
        <f t="shared" si="40"/>
        <v>0</v>
      </c>
    </row>
    <row r="41" spans="1:30" ht="18">
      <c r="A41" s="42" t="str">
        <f t="shared" si="34"/>
        <v>Other</v>
      </c>
      <c r="B41" s="294">
        <v>0</v>
      </c>
      <c r="C41" s="45">
        <f t="shared" si="35"/>
        <v>0</v>
      </c>
      <c r="D41" s="45">
        <f aca="true" t="shared" si="58" ref="D41:N41">IF(D16=0,0,IF(D16&gt;0,IF($B41=0,"SALARY?",IF(D16&gt;C16,D16*($B41/12),IF(D16&lt;C16,D16*($B41/12),IF(C41&gt;($B41/12),C41,D16*($B41/12)))))))</f>
        <v>0</v>
      </c>
      <c r="E41" s="45">
        <f t="shared" si="58"/>
        <v>0</v>
      </c>
      <c r="F41" s="45">
        <f t="shared" si="58"/>
        <v>0</v>
      </c>
      <c r="G41" s="45">
        <f t="shared" si="58"/>
        <v>0</v>
      </c>
      <c r="H41" s="45">
        <f t="shared" si="58"/>
        <v>0</v>
      </c>
      <c r="I41" s="45">
        <f t="shared" si="58"/>
        <v>0</v>
      </c>
      <c r="J41" s="45">
        <f t="shared" si="58"/>
        <v>0</v>
      </c>
      <c r="K41" s="45">
        <f t="shared" si="58"/>
        <v>0</v>
      </c>
      <c r="L41" s="45">
        <f t="shared" si="58"/>
        <v>0</v>
      </c>
      <c r="M41" s="45">
        <f t="shared" si="58"/>
        <v>0</v>
      </c>
      <c r="N41" s="45">
        <f t="shared" si="58"/>
        <v>0</v>
      </c>
      <c r="O41" s="494">
        <f t="shared" si="37"/>
        <v>0</v>
      </c>
      <c r="P41" s="42" t="str">
        <f t="shared" si="33"/>
        <v>Other</v>
      </c>
      <c r="Q41" s="324">
        <f t="shared" si="42"/>
        <v>0</v>
      </c>
      <c r="R41" s="45">
        <f t="shared" si="38"/>
        <v>0</v>
      </c>
      <c r="S41" s="45">
        <f aca="true" t="shared" si="59" ref="S41:AC41">IF(S16=0,0,IF(S16&gt;0,IF($Q41=0,"SALARY?",IF(S16&gt;R16,S16*($Q41/12),IF(S16&lt;R16,S16*($Q41/12),IF(R41&gt;($Q41/12),R41,S16*($Q41/12)))))))</f>
        <v>0</v>
      </c>
      <c r="T41" s="45">
        <f t="shared" si="59"/>
        <v>0</v>
      </c>
      <c r="U41" s="45">
        <f t="shared" si="59"/>
        <v>0</v>
      </c>
      <c r="V41" s="45">
        <f t="shared" si="59"/>
        <v>0</v>
      </c>
      <c r="W41" s="45">
        <f t="shared" si="59"/>
        <v>0</v>
      </c>
      <c r="X41" s="45">
        <f t="shared" si="59"/>
        <v>0</v>
      </c>
      <c r="Y41" s="45">
        <f t="shared" si="59"/>
        <v>0</v>
      </c>
      <c r="Z41" s="45">
        <f t="shared" si="59"/>
        <v>0</v>
      </c>
      <c r="AA41" s="45">
        <f t="shared" si="59"/>
        <v>0</v>
      </c>
      <c r="AB41" s="45">
        <f t="shared" si="59"/>
        <v>0</v>
      </c>
      <c r="AC41" s="45">
        <f t="shared" si="59"/>
        <v>0</v>
      </c>
      <c r="AD41" s="494">
        <f t="shared" si="40"/>
        <v>0</v>
      </c>
    </row>
    <row r="42" spans="1:30" ht="18">
      <c r="A42" s="42" t="str">
        <f t="shared" si="34"/>
        <v>Other</v>
      </c>
      <c r="B42" s="294">
        <v>0</v>
      </c>
      <c r="C42" s="45">
        <f t="shared" si="35"/>
        <v>0</v>
      </c>
      <c r="D42" s="45">
        <f aca="true" t="shared" si="60" ref="D42:N42">IF(D17=0,0,IF(D17&gt;0,IF($B42=0,"SALARY?",IF(D17&gt;C17,D17*($B42/12),IF(D17&lt;C17,D17*($B42/12),IF(C42&gt;($B42/12),C42,D17*($B42/12)))))))</f>
        <v>0</v>
      </c>
      <c r="E42" s="45">
        <f t="shared" si="60"/>
        <v>0</v>
      </c>
      <c r="F42" s="45">
        <f t="shared" si="60"/>
        <v>0</v>
      </c>
      <c r="G42" s="45">
        <f t="shared" si="60"/>
        <v>0</v>
      </c>
      <c r="H42" s="45">
        <f t="shared" si="60"/>
        <v>0</v>
      </c>
      <c r="I42" s="45">
        <f t="shared" si="60"/>
        <v>0</v>
      </c>
      <c r="J42" s="45">
        <f t="shared" si="60"/>
        <v>0</v>
      </c>
      <c r="K42" s="45">
        <f t="shared" si="60"/>
        <v>0</v>
      </c>
      <c r="L42" s="45">
        <f t="shared" si="60"/>
        <v>0</v>
      </c>
      <c r="M42" s="45">
        <f t="shared" si="60"/>
        <v>0</v>
      </c>
      <c r="N42" s="45">
        <f t="shared" si="60"/>
        <v>0</v>
      </c>
      <c r="O42" s="494">
        <f t="shared" si="37"/>
        <v>0</v>
      </c>
      <c r="P42" s="42" t="str">
        <f>IF(A42="","",+A42)</f>
        <v>Other</v>
      </c>
      <c r="Q42" s="324">
        <f t="shared" si="42"/>
        <v>0</v>
      </c>
      <c r="R42" s="45">
        <f t="shared" si="38"/>
        <v>0</v>
      </c>
      <c r="S42" s="45">
        <f aca="true" t="shared" si="61" ref="S42:AC42">IF(S17=0,0,IF(S17&gt;0,IF($Q42=0,"SALARY?",IF(S17&gt;R17,S17*($Q42/12),IF(S17&lt;R17,S17*($Q42/12),IF(R42&gt;($Q42/12),R42,S17*($Q42/12)))))))</f>
        <v>0</v>
      </c>
      <c r="T42" s="45">
        <f t="shared" si="61"/>
        <v>0</v>
      </c>
      <c r="U42" s="45">
        <f t="shared" si="61"/>
        <v>0</v>
      </c>
      <c r="V42" s="45">
        <f t="shared" si="61"/>
        <v>0</v>
      </c>
      <c r="W42" s="45">
        <f t="shared" si="61"/>
        <v>0</v>
      </c>
      <c r="X42" s="45">
        <f t="shared" si="61"/>
        <v>0</v>
      </c>
      <c r="Y42" s="45">
        <f t="shared" si="61"/>
        <v>0</v>
      </c>
      <c r="Z42" s="45">
        <f t="shared" si="61"/>
        <v>0</v>
      </c>
      <c r="AA42" s="45">
        <f t="shared" si="61"/>
        <v>0</v>
      </c>
      <c r="AB42" s="45">
        <f t="shared" si="61"/>
        <v>0</v>
      </c>
      <c r="AC42" s="45">
        <f t="shared" si="61"/>
        <v>0</v>
      </c>
      <c r="AD42" s="494">
        <f t="shared" si="40"/>
        <v>0</v>
      </c>
    </row>
    <row r="43" spans="1:30" ht="18">
      <c r="A43" s="42" t="str">
        <f t="shared" si="34"/>
        <v>Other</v>
      </c>
      <c r="B43" s="294">
        <v>0</v>
      </c>
      <c r="C43" s="45">
        <f t="shared" si="35"/>
        <v>0</v>
      </c>
      <c r="D43" s="45">
        <f aca="true" t="shared" si="62" ref="D43:N43">IF(D18=0,0,IF(D18&gt;0,IF($B43=0,"SALARY?",IF(D18&gt;C18,D18*($B43/12),IF(D18&lt;C18,D18*($B43/12),IF(C43&gt;($B43/12),C43,D18*($B43/12)))))))</f>
        <v>0</v>
      </c>
      <c r="E43" s="45">
        <f t="shared" si="62"/>
        <v>0</v>
      </c>
      <c r="F43" s="45">
        <f t="shared" si="62"/>
        <v>0</v>
      </c>
      <c r="G43" s="45">
        <f t="shared" si="62"/>
        <v>0</v>
      </c>
      <c r="H43" s="45">
        <f t="shared" si="62"/>
        <v>0</v>
      </c>
      <c r="I43" s="45">
        <f t="shared" si="62"/>
        <v>0</v>
      </c>
      <c r="J43" s="45">
        <f t="shared" si="62"/>
        <v>0</v>
      </c>
      <c r="K43" s="45">
        <f t="shared" si="62"/>
        <v>0</v>
      </c>
      <c r="L43" s="45">
        <f t="shared" si="62"/>
        <v>0</v>
      </c>
      <c r="M43" s="45">
        <f t="shared" si="62"/>
        <v>0</v>
      </c>
      <c r="N43" s="45">
        <f t="shared" si="62"/>
        <v>0</v>
      </c>
      <c r="O43" s="494">
        <f t="shared" si="37"/>
        <v>0</v>
      </c>
      <c r="P43" s="42" t="str">
        <f t="shared" si="33"/>
        <v>Other</v>
      </c>
      <c r="Q43" s="324">
        <f t="shared" si="42"/>
        <v>0</v>
      </c>
      <c r="R43" s="45">
        <f t="shared" si="38"/>
        <v>0</v>
      </c>
      <c r="S43" s="45">
        <f aca="true" t="shared" si="63" ref="S43:AC43">IF(S18=0,0,IF(S18&gt;0,IF($Q43=0,"SALARY?",IF(S18&gt;R18,S18*($Q43/12),IF(S18&lt;R18,S18*($Q43/12),IF(R43&gt;($Q43/12),R43,S18*($Q43/12)))))))</f>
        <v>0</v>
      </c>
      <c r="T43" s="45">
        <f t="shared" si="63"/>
        <v>0</v>
      </c>
      <c r="U43" s="45">
        <f t="shared" si="63"/>
        <v>0</v>
      </c>
      <c r="V43" s="45">
        <f t="shared" si="63"/>
        <v>0</v>
      </c>
      <c r="W43" s="45">
        <f t="shared" si="63"/>
        <v>0</v>
      </c>
      <c r="X43" s="45">
        <f t="shared" si="63"/>
        <v>0</v>
      </c>
      <c r="Y43" s="45">
        <f t="shared" si="63"/>
        <v>0</v>
      </c>
      <c r="Z43" s="45">
        <f t="shared" si="63"/>
        <v>0</v>
      </c>
      <c r="AA43" s="45">
        <f t="shared" si="63"/>
        <v>0</v>
      </c>
      <c r="AB43" s="45">
        <f t="shared" si="63"/>
        <v>0</v>
      </c>
      <c r="AC43" s="45">
        <f t="shared" si="63"/>
        <v>0</v>
      </c>
      <c r="AD43" s="494">
        <f t="shared" si="40"/>
        <v>0</v>
      </c>
    </row>
    <row r="44" spans="1:30" ht="18">
      <c r="A44" s="42" t="str">
        <f t="shared" si="34"/>
        <v>Other</v>
      </c>
      <c r="B44" s="294">
        <v>0</v>
      </c>
      <c r="C44" s="45">
        <f t="shared" si="35"/>
        <v>0</v>
      </c>
      <c r="D44" s="45">
        <f aca="true" t="shared" si="64" ref="D44:N44">IF(D19=0,0,IF(D19&gt;0,IF($B44=0,"SALARY?",IF(D19&gt;C19,D19*($B44/12),IF(D19&lt;C19,D19*($B44/12),IF(C44&gt;($B44/12),C44,D19*($B44/12)))))))</f>
        <v>0</v>
      </c>
      <c r="E44" s="45">
        <f t="shared" si="64"/>
        <v>0</v>
      </c>
      <c r="F44" s="45">
        <f t="shared" si="64"/>
        <v>0</v>
      </c>
      <c r="G44" s="45">
        <f t="shared" si="64"/>
        <v>0</v>
      </c>
      <c r="H44" s="45">
        <f t="shared" si="64"/>
        <v>0</v>
      </c>
      <c r="I44" s="45">
        <f t="shared" si="64"/>
        <v>0</v>
      </c>
      <c r="J44" s="45">
        <f t="shared" si="64"/>
        <v>0</v>
      </c>
      <c r="K44" s="45">
        <f t="shared" si="64"/>
        <v>0</v>
      </c>
      <c r="L44" s="45">
        <f t="shared" si="64"/>
        <v>0</v>
      </c>
      <c r="M44" s="45">
        <f t="shared" si="64"/>
        <v>0</v>
      </c>
      <c r="N44" s="45">
        <f t="shared" si="64"/>
        <v>0</v>
      </c>
      <c r="O44" s="494">
        <f t="shared" si="37"/>
        <v>0</v>
      </c>
      <c r="P44" s="42" t="str">
        <f t="shared" si="33"/>
        <v>Other</v>
      </c>
      <c r="Q44" s="324">
        <f t="shared" si="42"/>
        <v>0</v>
      </c>
      <c r="R44" s="45">
        <f t="shared" si="38"/>
        <v>0</v>
      </c>
      <c r="S44" s="45">
        <f aca="true" t="shared" si="65" ref="S44:AC44">IF(S19=0,0,IF(S19&gt;0,IF($Q44=0,"SALARY?",IF(S19&gt;R19,S19*($Q44/12),IF(S19&lt;R19,S19*($Q44/12),IF(R44&gt;($Q44/12),R44,S19*($Q44/12)))))))</f>
        <v>0</v>
      </c>
      <c r="T44" s="45">
        <f t="shared" si="65"/>
        <v>0</v>
      </c>
      <c r="U44" s="45">
        <f t="shared" si="65"/>
        <v>0</v>
      </c>
      <c r="V44" s="45">
        <f t="shared" si="65"/>
        <v>0</v>
      </c>
      <c r="W44" s="45">
        <f t="shared" si="65"/>
        <v>0</v>
      </c>
      <c r="X44" s="45">
        <f t="shared" si="65"/>
        <v>0</v>
      </c>
      <c r="Y44" s="45">
        <f t="shared" si="65"/>
        <v>0</v>
      </c>
      <c r="Z44" s="45">
        <f t="shared" si="65"/>
        <v>0</v>
      </c>
      <c r="AA44" s="45">
        <f t="shared" si="65"/>
        <v>0</v>
      </c>
      <c r="AB44" s="45">
        <f t="shared" si="65"/>
        <v>0</v>
      </c>
      <c r="AC44" s="45">
        <f t="shared" si="65"/>
        <v>0</v>
      </c>
      <c r="AD44" s="494">
        <f t="shared" si="40"/>
        <v>0</v>
      </c>
    </row>
    <row r="45" spans="1:30" ht="18">
      <c r="A45" s="47" t="str">
        <f t="shared" si="34"/>
        <v>Other</v>
      </c>
      <c r="B45" s="446">
        <v>0</v>
      </c>
      <c r="C45" s="45">
        <f t="shared" si="35"/>
        <v>0</v>
      </c>
      <c r="D45" s="45">
        <f aca="true" t="shared" si="66" ref="D45:N45">IF(D20=0,0,IF(D20&gt;0,IF($B45=0,"SALARY?",IF(D20&gt;C20,D20*($B45/12),IF(D20&lt;C20,D20*($B45/12),IF(C45&gt;($B45/12),C45,D20*($B45/12)))))))</f>
        <v>0</v>
      </c>
      <c r="E45" s="45">
        <f t="shared" si="66"/>
        <v>0</v>
      </c>
      <c r="F45" s="45">
        <f t="shared" si="66"/>
        <v>0</v>
      </c>
      <c r="G45" s="45">
        <f t="shared" si="66"/>
        <v>0</v>
      </c>
      <c r="H45" s="45">
        <f t="shared" si="66"/>
        <v>0</v>
      </c>
      <c r="I45" s="45">
        <f t="shared" si="66"/>
        <v>0</v>
      </c>
      <c r="J45" s="45">
        <f t="shared" si="66"/>
        <v>0</v>
      </c>
      <c r="K45" s="45">
        <f t="shared" si="66"/>
        <v>0</v>
      </c>
      <c r="L45" s="45">
        <f t="shared" si="66"/>
        <v>0</v>
      </c>
      <c r="M45" s="45">
        <f t="shared" si="66"/>
        <v>0</v>
      </c>
      <c r="N45" s="45">
        <f t="shared" si="66"/>
        <v>0</v>
      </c>
      <c r="O45" s="473">
        <f t="shared" si="37"/>
        <v>0</v>
      </c>
      <c r="P45" s="47" t="str">
        <f t="shared" si="33"/>
        <v>Other</v>
      </c>
      <c r="Q45" s="311">
        <f t="shared" si="42"/>
        <v>0</v>
      </c>
      <c r="R45" s="45">
        <f t="shared" si="38"/>
        <v>0</v>
      </c>
      <c r="S45" s="45">
        <f aca="true" t="shared" si="67" ref="S45:AC45">IF(S20=0,0,IF(S20&gt;0,IF($Q45=0,"SALARY?",IF(S20&gt;R20,S20*($Q45/12),IF(S20&lt;R20,S20*($Q45/12),IF(R45&gt;($Q45/12),R45,S20*($Q45/12)))))))</f>
        <v>0</v>
      </c>
      <c r="T45" s="45">
        <f t="shared" si="67"/>
        <v>0</v>
      </c>
      <c r="U45" s="45">
        <f t="shared" si="67"/>
        <v>0</v>
      </c>
      <c r="V45" s="45">
        <f t="shared" si="67"/>
        <v>0</v>
      </c>
      <c r="W45" s="45">
        <f t="shared" si="67"/>
        <v>0</v>
      </c>
      <c r="X45" s="45">
        <f t="shared" si="67"/>
        <v>0</v>
      </c>
      <c r="Y45" s="45">
        <f t="shared" si="67"/>
        <v>0</v>
      </c>
      <c r="Z45" s="45">
        <f t="shared" si="67"/>
        <v>0</v>
      </c>
      <c r="AA45" s="45">
        <f t="shared" si="67"/>
        <v>0</v>
      </c>
      <c r="AB45" s="45">
        <f t="shared" si="67"/>
        <v>0</v>
      </c>
      <c r="AC45" s="45">
        <f t="shared" si="67"/>
        <v>0</v>
      </c>
      <c r="AD45" s="473">
        <f t="shared" si="40"/>
        <v>0</v>
      </c>
    </row>
    <row r="46" spans="1:30" ht="18">
      <c r="A46" s="42" t="s">
        <v>139</v>
      </c>
      <c r="B46" s="294"/>
      <c r="C46" s="496">
        <f aca="true" t="shared" si="68" ref="C46:N46">SUM(C31:C45)</f>
        <v>0</v>
      </c>
      <c r="D46" s="497">
        <f t="shared" si="68"/>
        <v>0</v>
      </c>
      <c r="E46" s="497">
        <f t="shared" si="68"/>
        <v>0</v>
      </c>
      <c r="F46" s="497">
        <f t="shared" si="68"/>
        <v>0</v>
      </c>
      <c r="G46" s="497">
        <f t="shared" si="68"/>
        <v>0</v>
      </c>
      <c r="H46" s="497">
        <f t="shared" si="68"/>
        <v>0</v>
      </c>
      <c r="I46" s="497">
        <f t="shared" si="68"/>
        <v>0</v>
      </c>
      <c r="J46" s="497">
        <f t="shared" si="68"/>
        <v>0</v>
      </c>
      <c r="K46" s="497">
        <f t="shared" si="68"/>
        <v>0</v>
      </c>
      <c r="L46" s="497">
        <f t="shared" si="68"/>
        <v>0</v>
      </c>
      <c r="M46" s="497">
        <f t="shared" si="68"/>
        <v>0</v>
      </c>
      <c r="N46" s="498">
        <f t="shared" si="68"/>
        <v>0</v>
      </c>
      <c r="O46" s="494">
        <f t="shared" si="37"/>
        <v>0</v>
      </c>
      <c r="P46" s="42" t="str">
        <f>+A46</f>
        <v>Total Salaries</v>
      </c>
      <c r="Q46" s="324"/>
      <c r="R46" s="496">
        <f aca="true" t="shared" si="69" ref="R46:AC46">SUM(R31:R45)</f>
        <v>0</v>
      </c>
      <c r="S46" s="497">
        <f t="shared" si="69"/>
        <v>0</v>
      </c>
      <c r="T46" s="497">
        <f t="shared" si="69"/>
        <v>0</v>
      </c>
      <c r="U46" s="497">
        <f t="shared" si="69"/>
        <v>0</v>
      </c>
      <c r="V46" s="497">
        <f t="shared" si="69"/>
        <v>0</v>
      </c>
      <c r="W46" s="497">
        <f t="shared" si="69"/>
        <v>0</v>
      </c>
      <c r="X46" s="497">
        <f t="shared" si="69"/>
        <v>0</v>
      </c>
      <c r="Y46" s="497">
        <f t="shared" si="69"/>
        <v>0</v>
      </c>
      <c r="Z46" s="497">
        <f t="shared" si="69"/>
        <v>0</v>
      </c>
      <c r="AA46" s="497">
        <f t="shared" si="69"/>
        <v>0</v>
      </c>
      <c r="AB46" s="497">
        <f t="shared" si="69"/>
        <v>0</v>
      </c>
      <c r="AC46" s="498">
        <f t="shared" si="69"/>
        <v>0</v>
      </c>
      <c r="AD46" s="494">
        <f t="shared" si="40"/>
        <v>0</v>
      </c>
    </row>
    <row r="47" spans="1:29" ht="18">
      <c r="A47" s="43"/>
      <c r="B47" s="72"/>
      <c r="C47" s="45"/>
      <c r="D47" s="45"/>
      <c r="E47" s="45"/>
      <c r="F47" s="45"/>
      <c r="G47" s="45"/>
      <c r="H47" s="45"/>
      <c r="I47" s="45"/>
      <c r="J47" s="45"/>
      <c r="K47" s="45"/>
      <c r="L47" s="45"/>
      <c r="M47" s="45"/>
      <c r="N47" s="45"/>
      <c r="P47" s="42">
        <f t="shared" si="33"/>
      </c>
      <c r="Q47" s="319"/>
      <c r="R47" s="45"/>
      <c r="S47" s="45"/>
      <c r="T47" s="45"/>
      <c r="U47" s="45"/>
      <c r="V47" s="45"/>
      <c r="W47" s="45"/>
      <c r="X47" s="45"/>
      <c r="Y47" s="45"/>
      <c r="Z47" s="45"/>
      <c r="AA47" s="45"/>
      <c r="AB47" s="45"/>
      <c r="AC47" s="45"/>
    </row>
    <row r="48" spans="1:29" ht="18">
      <c r="A48" s="43" t="str">
        <f>IF(+A23="","",+A23)</f>
        <v>CONSULTANTS &amp; CONTRACTORS</v>
      </c>
      <c r="B48" s="72"/>
      <c r="C48" s="46"/>
      <c r="D48" s="46"/>
      <c r="E48" s="46"/>
      <c r="F48" s="46"/>
      <c r="G48" s="46"/>
      <c r="H48" s="46"/>
      <c r="I48" s="46"/>
      <c r="J48" s="46"/>
      <c r="K48" s="46"/>
      <c r="L48" s="46"/>
      <c r="M48" s="46"/>
      <c r="N48" s="46"/>
      <c r="P48" s="43" t="str">
        <f>IF(A48="","",+A48)</f>
        <v>CONSULTANTS &amp; CONTRACTORS</v>
      </c>
      <c r="Q48" s="319"/>
      <c r="R48" s="46"/>
      <c r="S48" s="46"/>
      <c r="T48" s="46"/>
      <c r="U48" s="46"/>
      <c r="V48" s="46"/>
      <c r="W48" s="46"/>
      <c r="X48" s="46"/>
      <c r="Y48" s="46"/>
      <c r="Z48" s="46"/>
      <c r="AA48" s="46"/>
      <c r="AB48" s="46"/>
      <c r="AC48" s="46"/>
    </row>
    <row r="49" spans="1:30" ht="18">
      <c r="A49" s="42" t="str">
        <f>+A24</f>
        <v>Accountant</v>
      </c>
      <c r="B49" s="294">
        <v>0</v>
      </c>
      <c r="C49" s="45">
        <f>IF(C24=0,0,IF(C24&gt;0,IF($B49=0,"Amount?",C24*($B49/12))))</f>
        <v>0</v>
      </c>
      <c r="D49" s="45">
        <f aca="true" t="shared" si="70" ref="D49:N50">IF(D24=0,0,IF(D24&gt;0,IF($B49=0,"Amount?",D24*($B49/12))))</f>
        <v>0</v>
      </c>
      <c r="E49" s="45">
        <f t="shared" si="70"/>
        <v>0</v>
      </c>
      <c r="F49" s="45">
        <f t="shared" si="70"/>
        <v>0</v>
      </c>
      <c r="G49" s="45">
        <f t="shared" si="70"/>
        <v>0</v>
      </c>
      <c r="H49" s="45">
        <f t="shared" si="70"/>
        <v>0</v>
      </c>
      <c r="I49" s="45">
        <f t="shared" si="70"/>
        <v>0</v>
      </c>
      <c r="J49" s="45">
        <f t="shared" si="70"/>
        <v>0</v>
      </c>
      <c r="K49" s="45">
        <f t="shared" si="70"/>
        <v>0</v>
      </c>
      <c r="L49" s="45">
        <f t="shared" si="70"/>
        <v>0</v>
      </c>
      <c r="M49" s="45">
        <f t="shared" si="70"/>
        <v>0</v>
      </c>
      <c r="N49" s="45">
        <f t="shared" si="70"/>
        <v>0</v>
      </c>
      <c r="O49" s="494">
        <f>SUM(C49:N49)</f>
        <v>0</v>
      </c>
      <c r="P49" s="42" t="str">
        <f>IF(A49="","",+A49)</f>
        <v>Accountant</v>
      </c>
      <c r="Q49" s="324">
        <f>+B49</f>
        <v>0</v>
      </c>
      <c r="R49" s="45">
        <f aca="true" t="shared" si="71" ref="R49:AC49">IF(R24=0,0,IF(R24&gt;0,IF($Q49=0,"Amount?",R24*($Q49/12))))</f>
        <v>0</v>
      </c>
      <c r="S49" s="45">
        <f t="shared" si="71"/>
        <v>0</v>
      </c>
      <c r="T49" s="45">
        <f t="shared" si="71"/>
        <v>0</v>
      </c>
      <c r="U49" s="45">
        <f t="shared" si="71"/>
        <v>0</v>
      </c>
      <c r="V49" s="45">
        <f t="shared" si="71"/>
        <v>0</v>
      </c>
      <c r="W49" s="45">
        <f t="shared" si="71"/>
        <v>0</v>
      </c>
      <c r="X49" s="45">
        <f t="shared" si="71"/>
        <v>0</v>
      </c>
      <c r="Y49" s="45">
        <f t="shared" si="71"/>
        <v>0</v>
      </c>
      <c r="Z49" s="45">
        <f t="shared" si="71"/>
        <v>0</v>
      </c>
      <c r="AA49" s="45">
        <f t="shared" si="71"/>
        <v>0</v>
      </c>
      <c r="AB49" s="45">
        <f t="shared" si="71"/>
        <v>0</v>
      </c>
      <c r="AC49" s="45">
        <f t="shared" si="71"/>
        <v>0</v>
      </c>
      <c r="AD49" s="494">
        <f>SUM(R49:AC49)</f>
        <v>0</v>
      </c>
    </row>
    <row r="50" spans="1:30" ht="18">
      <c r="A50" s="47" t="str">
        <f>+A25</f>
        <v>Consultant #2</v>
      </c>
      <c r="B50" s="446">
        <v>0</v>
      </c>
      <c r="C50" s="45">
        <f>IF(C25=0,0,IF(C25&gt;0,IF($B50=0,"Amount?",C25*($B50/12))))</f>
        <v>0</v>
      </c>
      <c r="D50" s="45">
        <f t="shared" si="70"/>
        <v>0</v>
      </c>
      <c r="E50" s="45">
        <f t="shared" si="70"/>
        <v>0</v>
      </c>
      <c r="F50" s="45">
        <f t="shared" si="70"/>
        <v>0</v>
      </c>
      <c r="G50" s="45">
        <f t="shared" si="70"/>
        <v>0</v>
      </c>
      <c r="H50" s="45">
        <f t="shared" si="70"/>
        <v>0</v>
      </c>
      <c r="I50" s="45">
        <f t="shared" si="70"/>
        <v>0</v>
      </c>
      <c r="J50" s="45">
        <f t="shared" si="70"/>
        <v>0</v>
      </c>
      <c r="K50" s="45">
        <f t="shared" si="70"/>
        <v>0</v>
      </c>
      <c r="L50" s="45">
        <f t="shared" si="70"/>
        <v>0</v>
      </c>
      <c r="M50" s="45">
        <f t="shared" si="70"/>
        <v>0</v>
      </c>
      <c r="N50" s="45">
        <f t="shared" si="70"/>
        <v>0</v>
      </c>
      <c r="O50" s="473">
        <f>SUM(C50:N50)</f>
        <v>0</v>
      </c>
      <c r="P50" s="47" t="str">
        <f>IF(A50="","",+A50)</f>
        <v>Consultant #2</v>
      </c>
      <c r="Q50" s="311">
        <f>+B50</f>
        <v>0</v>
      </c>
      <c r="R50" s="45">
        <f aca="true" t="shared" si="72" ref="R50:AC50">IF(R25=0,0,IF(R25&gt;0,IF($Q50=0,"Amount?",R25*($Q50/12))))</f>
        <v>0</v>
      </c>
      <c r="S50" s="45">
        <f t="shared" si="72"/>
        <v>0</v>
      </c>
      <c r="T50" s="45">
        <f t="shared" si="72"/>
        <v>0</v>
      </c>
      <c r="U50" s="45">
        <f t="shared" si="72"/>
        <v>0</v>
      </c>
      <c r="V50" s="45">
        <f t="shared" si="72"/>
        <v>0</v>
      </c>
      <c r="W50" s="45">
        <f t="shared" si="72"/>
        <v>0</v>
      </c>
      <c r="X50" s="45">
        <f t="shared" si="72"/>
        <v>0</v>
      </c>
      <c r="Y50" s="45">
        <f t="shared" si="72"/>
        <v>0</v>
      </c>
      <c r="Z50" s="45">
        <f t="shared" si="72"/>
        <v>0</v>
      </c>
      <c r="AA50" s="45">
        <f t="shared" si="72"/>
        <v>0</v>
      </c>
      <c r="AB50" s="45">
        <f t="shared" si="72"/>
        <v>0</v>
      </c>
      <c r="AC50" s="45">
        <f t="shared" si="72"/>
        <v>0</v>
      </c>
      <c r="AD50" s="473">
        <f>SUM(R50:AC50)</f>
        <v>0</v>
      </c>
    </row>
    <row r="51" spans="1:30" ht="18">
      <c r="A51" s="18" t="s">
        <v>435</v>
      </c>
      <c r="B51" s="329"/>
      <c r="C51" s="325">
        <f>SUM(C49:C50)</f>
        <v>0</v>
      </c>
      <c r="D51" s="326">
        <f aca="true" t="shared" si="73" ref="D51:N51">SUM(D49:D50)</f>
        <v>0</v>
      </c>
      <c r="E51" s="326">
        <f t="shared" si="73"/>
        <v>0</v>
      </c>
      <c r="F51" s="326">
        <f t="shared" si="73"/>
        <v>0</v>
      </c>
      <c r="G51" s="326">
        <f t="shared" si="73"/>
        <v>0</v>
      </c>
      <c r="H51" s="326">
        <f t="shared" si="73"/>
        <v>0</v>
      </c>
      <c r="I51" s="326">
        <f t="shared" si="73"/>
        <v>0</v>
      </c>
      <c r="J51" s="326">
        <f t="shared" si="73"/>
        <v>0</v>
      </c>
      <c r="K51" s="326">
        <f t="shared" si="73"/>
        <v>0</v>
      </c>
      <c r="L51" s="326">
        <f t="shared" si="73"/>
        <v>0</v>
      </c>
      <c r="M51" s="326">
        <f t="shared" si="73"/>
        <v>0</v>
      </c>
      <c r="N51" s="327">
        <f t="shared" si="73"/>
        <v>0</v>
      </c>
      <c r="O51" s="494">
        <f>SUM(C51:N51)</f>
        <v>0</v>
      </c>
      <c r="P51" s="440" t="str">
        <f>+A51</f>
        <v>Total Consultants Fees</v>
      </c>
      <c r="Q51" s="329"/>
      <c r="R51" s="325">
        <f aca="true" t="shared" si="74" ref="R51:AC51">SUM(R49:R50)</f>
        <v>0</v>
      </c>
      <c r="S51" s="326">
        <f t="shared" si="74"/>
        <v>0</v>
      </c>
      <c r="T51" s="326">
        <f t="shared" si="74"/>
        <v>0</v>
      </c>
      <c r="U51" s="326">
        <f t="shared" si="74"/>
        <v>0</v>
      </c>
      <c r="V51" s="326">
        <f t="shared" si="74"/>
        <v>0</v>
      </c>
      <c r="W51" s="326">
        <f t="shared" si="74"/>
        <v>0</v>
      </c>
      <c r="X51" s="326">
        <f t="shared" si="74"/>
        <v>0</v>
      </c>
      <c r="Y51" s="326">
        <f t="shared" si="74"/>
        <v>0</v>
      </c>
      <c r="Z51" s="326">
        <f t="shared" si="74"/>
        <v>0</v>
      </c>
      <c r="AA51" s="326">
        <f t="shared" si="74"/>
        <v>0</v>
      </c>
      <c r="AB51" s="326">
        <f t="shared" si="74"/>
        <v>0</v>
      </c>
      <c r="AC51" s="327">
        <f t="shared" si="74"/>
        <v>0</v>
      </c>
      <c r="AD51" s="494">
        <f>SUM(R51:AC51)</f>
        <v>0</v>
      </c>
    </row>
    <row r="52" ht="18">
      <c r="P52" s="440"/>
    </row>
    <row r="53" spans="1:30" ht="18">
      <c r="A53" s="18" t="s">
        <v>434</v>
      </c>
      <c r="C53" s="244">
        <f>+C46+C51</f>
        <v>0</v>
      </c>
      <c r="D53" s="244">
        <f aca="true" t="shared" si="75" ref="D53:O53">+D46+D51</f>
        <v>0</v>
      </c>
      <c r="E53" s="244">
        <f t="shared" si="75"/>
        <v>0</v>
      </c>
      <c r="F53" s="244">
        <f t="shared" si="75"/>
        <v>0</v>
      </c>
      <c r="G53" s="244">
        <f t="shared" si="75"/>
        <v>0</v>
      </c>
      <c r="H53" s="244">
        <f t="shared" si="75"/>
        <v>0</v>
      </c>
      <c r="I53" s="244">
        <f t="shared" si="75"/>
        <v>0</v>
      </c>
      <c r="J53" s="244">
        <f t="shared" si="75"/>
        <v>0</v>
      </c>
      <c r="K53" s="244">
        <f t="shared" si="75"/>
        <v>0</v>
      </c>
      <c r="L53" s="244">
        <f t="shared" si="75"/>
        <v>0</v>
      </c>
      <c r="M53" s="244">
        <f t="shared" si="75"/>
        <v>0</v>
      </c>
      <c r="N53" s="244">
        <f t="shared" si="75"/>
        <v>0</v>
      </c>
      <c r="O53" s="244">
        <f t="shared" si="75"/>
        <v>0</v>
      </c>
      <c r="P53" s="440" t="str">
        <f>+A53</f>
        <v>Total Salaries &amp; Consultants Fees</v>
      </c>
      <c r="R53" s="244">
        <f>+R46+R51</f>
        <v>0</v>
      </c>
      <c r="S53" s="244">
        <f aca="true" t="shared" si="76" ref="S53:AD53">+S46+S51</f>
        <v>0</v>
      </c>
      <c r="T53" s="244">
        <f t="shared" si="76"/>
        <v>0</v>
      </c>
      <c r="U53" s="244">
        <f t="shared" si="76"/>
        <v>0</v>
      </c>
      <c r="V53" s="244">
        <f t="shared" si="76"/>
        <v>0</v>
      </c>
      <c r="W53" s="244">
        <f t="shared" si="76"/>
        <v>0</v>
      </c>
      <c r="X53" s="244">
        <f t="shared" si="76"/>
        <v>0</v>
      </c>
      <c r="Y53" s="244">
        <f t="shared" si="76"/>
        <v>0</v>
      </c>
      <c r="Z53" s="244">
        <f t="shared" si="76"/>
        <v>0</v>
      </c>
      <c r="AA53" s="244">
        <f t="shared" si="76"/>
        <v>0</v>
      </c>
      <c r="AB53" s="244">
        <f t="shared" si="76"/>
        <v>0</v>
      </c>
      <c r="AC53" s="244">
        <f t="shared" si="76"/>
        <v>0</v>
      </c>
      <c r="AD53" s="244">
        <f t="shared" si="76"/>
        <v>0</v>
      </c>
    </row>
    <row r="54" ht="18">
      <c r="P54" s="440"/>
    </row>
  </sheetData>
  <sheetProtection/>
  <printOptions/>
  <pageMargins left="0.5" right="0.5" top="0.75" bottom="0.75" header="0.5" footer="0.5"/>
  <pageSetup firstPageNumber="1" useFirstPageNumber="1" horizontalDpi="600" verticalDpi="600" orientation="landscape" pageOrder="overThenDown" scale="53" r:id="rId4"/>
  <headerFooter alignWithMargins="0">
    <oddFooter>&amp;R&amp;A  Page &amp;P</oddFooter>
  </headerFooter>
  <colBreaks count="1" manualBreakCount="1">
    <brk id="15"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K81"/>
  <sheetViews>
    <sheetView zoomScale="85" zoomScaleNormal="85" zoomScaleSheetLayoutView="35" workbookViewId="0" topLeftCell="A1">
      <selection activeCell="R4" sqref="R4:AC4"/>
    </sheetView>
  </sheetViews>
  <sheetFormatPr defaultColWidth="8.72265625" defaultRowHeight="18"/>
  <cols>
    <col min="1" max="1" width="20.54296875" style="0" customWidth="1"/>
    <col min="2" max="2" width="8.90625" style="0" bestFit="1" customWidth="1"/>
    <col min="3" max="3" width="10.99609375" style="0" bestFit="1" customWidth="1"/>
    <col min="4" max="4" width="10.6328125" style="0" bestFit="1" customWidth="1"/>
    <col min="5" max="5" width="10.2734375" style="0" bestFit="1" customWidth="1"/>
    <col min="6" max="6" width="10.6328125" style="0" bestFit="1" customWidth="1"/>
    <col min="7" max="7" width="10.99609375" style="0" bestFit="1" customWidth="1"/>
    <col min="8" max="14" width="11.36328125" style="0" bestFit="1" customWidth="1"/>
    <col min="15" max="15" width="9.99609375" style="0" customWidth="1"/>
    <col min="16" max="16" width="23.6328125" style="0" customWidth="1"/>
    <col min="17" max="17" width="8.6328125" style="0" customWidth="1"/>
    <col min="18" max="29" width="10.8125" style="0" customWidth="1"/>
    <col min="30" max="30" width="10.8125" style="0" bestFit="1" customWidth="1"/>
  </cols>
  <sheetData>
    <row r="1" spans="1:30" s="18" customFormat="1" ht="18">
      <c r="A1" s="61" t="str">
        <f>+Cover!A13</f>
        <v>MyCo</v>
      </c>
      <c r="B1" s="61"/>
      <c r="C1" s="61"/>
      <c r="D1" s="61"/>
      <c r="E1" s="61"/>
      <c r="F1" s="61"/>
      <c r="G1" s="61"/>
      <c r="H1" s="61"/>
      <c r="I1" s="61"/>
      <c r="J1" s="61"/>
      <c r="K1" s="61"/>
      <c r="L1" s="61"/>
      <c r="M1" s="61"/>
      <c r="N1" s="61"/>
      <c r="O1" s="61" t="str">
        <f>+Cover!A17</f>
        <v>Draft 1.0</v>
      </c>
      <c r="P1" s="61" t="str">
        <f>A1</f>
        <v>MyCo</v>
      </c>
      <c r="Q1" s="61"/>
      <c r="R1" s="61"/>
      <c r="S1" s="61"/>
      <c r="T1" s="61"/>
      <c r="U1" s="61"/>
      <c r="V1" s="61"/>
      <c r="W1" s="61"/>
      <c r="X1" s="61"/>
      <c r="Y1" s="61"/>
      <c r="Z1" s="61"/>
      <c r="AA1" s="61"/>
      <c r="AB1" s="61"/>
      <c r="AC1" s="61"/>
      <c r="AD1" s="61" t="str">
        <f>+O1</f>
        <v>Draft 1.0</v>
      </c>
    </row>
    <row r="2" spans="1:30" s="18" customFormat="1" ht="23.25">
      <c r="A2" s="458" t="s">
        <v>475</v>
      </c>
      <c r="B2" s="61"/>
      <c r="C2" s="61"/>
      <c r="D2" s="61"/>
      <c r="E2" s="61"/>
      <c r="F2" s="61"/>
      <c r="G2" s="61"/>
      <c r="H2" s="61"/>
      <c r="I2" s="61"/>
      <c r="J2" s="61"/>
      <c r="K2" s="61"/>
      <c r="L2" s="61"/>
      <c r="M2" s="61"/>
      <c r="N2" s="61"/>
      <c r="O2" s="61"/>
      <c r="P2" s="458" t="s">
        <v>475</v>
      </c>
      <c r="Q2" s="61"/>
      <c r="R2" s="61"/>
      <c r="S2" s="61"/>
      <c r="T2" s="61"/>
      <c r="U2" s="61"/>
      <c r="V2" s="61"/>
      <c r="W2" s="61"/>
      <c r="X2" s="61"/>
      <c r="Y2" s="61"/>
      <c r="Z2" s="61"/>
      <c r="AA2" s="61"/>
      <c r="AB2" s="61"/>
      <c r="AC2" s="61"/>
      <c r="AD2" s="61"/>
    </row>
    <row r="3" spans="1:30" s="18" customFormat="1" ht="18">
      <c r="A3" s="604">
        <f>+Headcount!A3</f>
        <v>2022</v>
      </c>
      <c r="B3" s="61"/>
      <c r="C3" s="619">
        <f>IF(ISBLANK(Headcount!C$3),"",Headcount!C$3)</f>
      </c>
      <c r="D3" s="619">
        <f>IF(ISBLANK(Headcount!D$3),"",Headcount!D$3)</f>
      </c>
      <c r="E3" s="619">
        <f>IF(ISBLANK(Headcount!E$3),"",Headcount!E$3)</f>
      </c>
      <c r="F3" s="619">
        <f>IF(ISBLANK(Headcount!F$3),"",Headcount!F$3)</f>
      </c>
      <c r="G3" s="619">
        <f>IF(ISBLANK(Headcount!G$3),"",Headcount!G$3)</f>
      </c>
      <c r="H3" s="619">
        <f>IF(ISBLANK(Headcount!H$3),"",Headcount!H$3)</f>
      </c>
      <c r="I3" s="619">
        <f>IF(ISBLANK(Headcount!I$3),"",Headcount!I$3)</f>
      </c>
      <c r="J3" s="619">
        <f>IF(ISBLANK(Headcount!J$3),"",Headcount!J$3)</f>
      </c>
      <c r="K3" s="619">
        <f>IF(ISBLANK(Headcount!K$3),"",Headcount!K$3)</f>
      </c>
      <c r="L3" s="619">
        <f>IF(ISBLANK(Headcount!L$3),"",Headcount!L$3)</f>
      </c>
      <c r="M3" s="619">
        <f>IF(ISBLANK(Headcount!M$3),"",Headcount!M$3)</f>
      </c>
      <c r="N3" s="619">
        <f>IF(ISBLANK(Headcount!N$3),"",Headcount!N$3)</f>
      </c>
      <c r="O3" s="61"/>
      <c r="P3" s="21">
        <f>IF(A3="Year 1","Year 2",A3+1)</f>
        <v>2023</v>
      </c>
      <c r="Q3" s="61"/>
      <c r="R3" s="619">
        <f>IF(ISBLANK(Headcount!R$3),"",Headcount!R$3)</f>
      </c>
      <c r="S3" s="619">
        <f>IF(ISBLANK(Headcount!S$3),"",Headcount!S$3)</f>
      </c>
      <c r="T3" s="619">
        <f>IF(ISBLANK(Headcount!T$3),"",Headcount!T$3)</f>
      </c>
      <c r="U3" s="619">
        <f>IF(ISBLANK(Headcount!U$3),"",Headcount!U$3)</f>
      </c>
      <c r="V3" s="619">
        <f>IF(ISBLANK(Headcount!V$3),"",Headcount!V$3)</f>
      </c>
      <c r="W3" s="619">
        <f>IF(ISBLANK(Headcount!W$3),"",Headcount!W$3)</f>
      </c>
      <c r="X3" s="619">
        <f>IF(ISBLANK(Headcount!X$3),"",Headcount!X$3)</f>
      </c>
      <c r="Y3" s="619">
        <f>IF(ISBLANK(Headcount!Y$3),"",Headcount!Y$3)</f>
      </c>
      <c r="Z3" s="619">
        <f>IF(ISBLANK(Headcount!Z$3),"",Headcount!Z$3)</f>
      </c>
      <c r="AA3" s="619">
        <f>IF(ISBLANK(Headcount!AA$3),"",Headcount!AA$3)</f>
      </c>
      <c r="AB3" s="619">
        <f>IF(ISBLANK(Headcount!AB$3),"",Headcount!AB$3)</f>
      </c>
      <c r="AC3" s="619">
        <f>IF(ISBLANK(Headcount!AC$3),"",Headcount!AC$3)</f>
      </c>
      <c r="AD3" s="61"/>
    </row>
    <row r="4" spans="1:30" s="262" customFormat="1" ht="18">
      <c r="A4" s="61"/>
      <c r="B4" s="61"/>
      <c r="C4" s="619" t="str">
        <f>IF(ISBLANK(Headcount!C$4),"",Headcount!C$4)</f>
        <v>Month</v>
      </c>
      <c r="D4" s="619" t="str">
        <f>IF(ISBLANK(Headcount!D$4),"",Headcount!D$4)</f>
        <v>Actual</v>
      </c>
      <c r="E4" s="619" t="str">
        <f>IF(ISBLANK(Headcount!E$4),"",Headcount!E$4)</f>
        <v>Actual</v>
      </c>
      <c r="F4" s="619" t="str">
        <f>IF(ISBLANK(Headcount!F$4),"",Headcount!F$4)</f>
        <v>Forecast</v>
      </c>
      <c r="G4" s="619" t="str">
        <f>IF(ISBLANK(Headcount!G$4),"",Headcount!G$4)</f>
        <v>Forecast</v>
      </c>
      <c r="H4" s="619" t="str">
        <f>IF(ISBLANK(Headcount!H$4),"",Headcount!H$4)</f>
        <v>Forecast</v>
      </c>
      <c r="I4" s="619" t="str">
        <f>IF(ISBLANK(Headcount!I$4),"",Headcount!I$4)</f>
        <v>Forecast</v>
      </c>
      <c r="J4" s="619" t="str">
        <f>IF(ISBLANK(Headcount!J$4),"",Headcount!J$4)</f>
        <v>Forecast</v>
      </c>
      <c r="K4" s="619" t="str">
        <f>IF(ISBLANK(Headcount!K$4),"",Headcount!K$4)</f>
        <v>Forecast</v>
      </c>
      <c r="L4" s="619" t="str">
        <f>IF(ISBLANK(Headcount!L$4),"",Headcount!L$4)</f>
        <v>Forecast</v>
      </c>
      <c r="M4" s="619" t="str">
        <f>IF(ISBLANK(Headcount!M$4),"",Headcount!M$4)</f>
        <v>Forecast</v>
      </c>
      <c r="N4" s="619" t="str">
        <f>IF(ISBLANK(Headcount!N$4),"",Headcount!N$4)</f>
        <v>Forecast</v>
      </c>
      <c r="O4" s="97"/>
      <c r="P4" s="97"/>
      <c r="Q4" s="97"/>
      <c r="R4" s="619" t="str">
        <f>IF(ISBLANK(Headcount!R$4),"",Headcount!R$4)</f>
        <v>Forecast</v>
      </c>
      <c r="S4" s="619" t="str">
        <f>IF(ISBLANK(Headcount!S$4),"",Headcount!S$4)</f>
        <v>Forecast</v>
      </c>
      <c r="T4" s="619" t="str">
        <f>IF(ISBLANK(Headcount!T$4),"",Headcount!T$4)</f>
        <v>Forecast</v>
      </c>
      <c r="U4" s="619" t="str">
        <f>IF(ISBLANK(Headcount!U$4),"",Headcount!U$4)</f>
        <v>Forecast</v>
      </c>
      <c r="V4" s="619" t="str">
        <f>IF(ISBLANK(Headcount!V$4),"",Headcount!V$4)</f>
        <v>Forecast</v>
      </c>
      <c r="W4" s="619" t="str">
        <f>IF(ISBLANK(Headcount!W$4),"",Headcount!W$4)</f>
        <v>Forecast</v>
      </c>
      <c r="X4" s="619" t="str">
        <f>IF(ISBLANK(Headcount!X$4),"",Headcount!X$4)</f>
        <v>Forecast</v>
      </c>
      <c r="Y4" s="619" t="str">
        <f>IF(ISBLANK(Headcount!Y$4),"",Headcount!Y$4)</f>
        <v>Forecast</v>
      </c>
      <c r="Z4" s="619" t="str">
        <f>IF(ISBLANK(Headcount!Z$4),"",Headcount!Z$4)</f>
        <v>Forecast</v>
      </c>
      <c r="AA4" s="619" t="str">
        <f>IF(ISBLANK(Headcount!AA$4),"",Headcount!AA$4)</f>
        <v>Forecast</v>
      </c>
      <c r="AB4" s="619" t="str">
        <f>IF(ISBLANK(Headcount!AB$4),"",Headcount!AB$4)</f>
        <v>Forecast</v>
      </c>
      <c r="AC4" s="619" t="str">
        <f>IF(ISBLANK(Headcount!AC$4),"",Headcount!AC$4)</f>
        <v>Forecast</v>
      </c>
      <c r="AD4" s="457"/>
    </row>
    <row r="5" spans="1:30" s="263" customFormat="1" ht="21" thickBot="1">
      <c r="A5" s="1"/>
      <c r="B5" s="1"/>
      <c r="C5" s="157" t="str">
        <f>+Headcount!C5</f>
        <v>Jan</v>
      </c>
      <c r="D5" s="157" t="str">
        <f>+Headcount!D5</f>
        <v>Feb</v>
      </c>
      <c r="E5" s="157" t="str">
        <f>+Headcount!E5</f>
        <v>Mar</v>
      </c>
      <c r="F5" s="157" t="str">
        <f>+Headcount!F5</f>
        <v>Apr</v>
      </c>
      <c r="G5" s="157" t="str">
        <f>+Headcount!G5</f>
        <v>May</v>
      </c>
      <c r="H5" s="157" t="str">
        <f>+Headcount!H5</f>
        <v>Jun</v>
      </c>
      <c r="I5" s="157" t="str">
        <f>+Headcount!I5</f>
        <v>Jul</v>
      </c>
      <c r="J5" s="157" t="str">
        <f>+Headcount!J5</f>
        <v>Aug</v>
      </c>
      <c r="K5" s="157" t="str">
        <f>+Headcount!K5</f>
        <v>Sep</v>
      </c>
      <c r="L5" s="157" t="str">
        <f>+Headcount!L5</f>
        <v>Oct</v>
      </c>
      <c r="M5" s="157" t="str">
        <f>+Headcount!M5</f>
        <v>Nov</v>
      </c>
      <c r="N5" s="157" t="str">
        <f>+Headcount!N5</f>
        <v>Dec</v>
      </c>
      <c r="O5" s="36" t="s">
        <v>1</v>
      </c>
      <c r="P5" s="609"/>
      <c r="Q5" s="38"/>
      <c r="R5" s="157" t="str">
        <f>+Headcount!R5</f>
        <v>Jan</v>
      </c>
      <c r="S5" s="157" t="str">
        <f>+Headcount!S5</f>
        <v>Feb</v>
      </c>
      <c r="T5" s="157" t="str">
        <f>+Headcount!T5</f>
        <v>Mar</v>
      </c>
      <c r="U5" s="157" t="str">
        <f>+Headcount!U5</f>
        <v>Apr</v>
      </c>
      <c r="V5" s="157" t="str">
        <f>+Headcount!V5</f>
        <v>May</v>
      </c>
      <c r="W5" s="157" t="str">
        <f>+Headcount!W5</f>
        <v>Jun</v>
      </c>
      <c r="X5" s="157" t="str">
        <f>+Headcount!X5</f>
        <v>Jul</v>
      </c>
      <c r="Y5" s="157" t="str">
        <f>+Headcount!Y5</f>
        <v>Aug</v>
      </c>
      <c r="Z5" s="157" t="str">
        <f>+Headcount!Z5</f>
        <v>Sep</v>
      </c>
      <c r="AA5" s="157" t="str">
        <f>+Headcount!AA5</f>
        <v>Oct</v>
      </c>
      <c r="AB5" s="157" t="str">
        <f>+Headcount!AB5</f>
        <v>Nov</v>
      </c>
      <c r="AC5" s="157" t="str">
        <f>+Headcount!AC5</f>
        <v>Dec</v>
      </c>
      <c r="AD5" s="36" t="s">
        <v>1</v>
      </c>
    </row>
    <row r="6" spans="1:30" s="30" customFormat="1" ht="18">
      <c r="A6" s="457" t="s">
        <v>180</v>
      </c>
      <c r="B6" s="61"/>
      <c r="C6" s="61"/>
      <c r="D6" s="61"/>
      <c r="E6" s="61"/>
      <c r="F6" s="61"/>
      <c r="G6" s="61"/>
      <c r="H6" s="61"/>
      <c r="I6" s="61"/>
      <c r="J6" s="61"/>
      <c r="K6" s="61"/>
      <c r="L6" s="61"/>
      <c r="M6" s="61"/>
      <c r="N6" s="61"/>
      <c r="O6" s="536"/>
      <c r="P6" s="457" t="str">
        <f aca="true" t="shared" si="0" ref="P6:P12">+A6</f>
        <v>Employee Related</v>
      </c>
      <c r="Q6" s="61"/>
      <c r="R6" s="61"/>
      <c r="S6" s="61"/>
      <c r="T6" s="61"/>
      <c r="U6" s="61"/>
      <c r="V6" s="61"/>
      <c r="W6" s="61"/>
      <c r="X6" s="61"/>
      <c r="Y6" s="61"/>
      <c r="Z6" s="61"/>
      <c r="AA6" s="61"/>
      <c r="AB6" s="61"/>
      <c r="AC6" s="61"/>
      <c r="AD6" s="536"/>
    </row>
    <row r="7" spans="1:30" s="30" customFormat="1" ht="18">
      <c r="A7" s="61" t="s">
        <v>137</v>
      </c>
      <c r="B7" s="61"/>
      <c r="C7" s="61">
        <f>+Headcount!C46</f>
        <v>0</v>
      </c>
      <c r="D7" s="61">
        <f>+Headcount!D46</f>
        <v>0</v>
      </c>
      <c r="E7" s="61">
        <f>+Headcount!E46</f>
        <v>0</v>
      </c>
      <c r="F7" s="61">
        <f>+Headcount!F46</f>
        <v>0</v>
      </c>
      <c r="G7" s="61">
        <f>+Headcount!G46</f>
        <v>0</v>
      </c>
      <c r="H7" s="61">
        <f>+Headcount!H46</f>
        <v>0</v>
      </c>
      <c r="I7" s="61">
        <f>+Headcount!I46</f>
        <v>0</v>
      </c>
      <c r="J7" s="61">
        <f>+Headcount!J46</f>
        <v>0</v>
      </c>
      <c r="K7" s="61">
        <f>+Headcount!K46</f>
        <v>0</v>
      </c>
      <c r="L7" s="61">
        <f>+Headcount!L46</f>
        <v>0</v>
      </c>
      <c r="M7" s="61">
        <f>+Headcount!M46</f>
        <v>0</v>
      </c>
      <c r="N7" s="61">
        <f>+Headcount!N46</f>
        <v>0</v>
      </c>
      <c r="O7" s="295">
        <f aca="true" t="shared" si="1" ref="O7:O12">SUM(C7:N7)</f>
        <v>0</v>
      </c>
      <c r="P7" s="61" t="str">
        <f t="shared" si="0"/>
        <v>Salaries</v>
      </c>
      <c r="Q7" s="61"/>
      <c r="R7" s="61">
        <f>+Headcount!R46</f>
        <v>0</v>
      </c>
      <c r="S7" s="61">
        <f>+Headcount!S46</f>
        <v>0</v>
      </c>
      <c r="T7" s="61">
        <f>+Headcount!T46</f>
        <v>0</v>
      </c>
      <c r="U7" s="61">
        <f>+Headcount!U46</f>
        <v>0</v>
      </c>
      <c r="V7" s="61">
        <f>+Headcount!V46</f>
        <v>0</v>
      </c>
      <c r="W7" s="61">
        <f>+Headcount!W46</f>
        <v>0</v>
      </c>
      <c r="X7" s="61">
        <f>+Headcount!X46</f>
        <v>0</v>
      </c>
      <c r="Y7" s="61">
        <f>+Headcount!Y46</f>
        <v>0</v>
      </c>
      <c r="Z7" s="61">
        <f>+Headcount!Z46</f>
        <v>0</v>
      </c>
      <c r="AA7" s="61">
        <f>+Headcount!AA46</f>
        <v>0</v>
      </c>
      <c r="AB7" s="61">
        <f>+Headcount!AB46</f>
        <v>0</v>
      </c>
      <c r="AC7" s="61">
        <f>+Headcount!AC46</f>
        <v>0</v>
      </c>
      <c r="AD7" s="295">
        <f>SUM(R7:AC7)</f>
        <v>0</v>
      </c>
    </row>
    <row r="8" spans="1:30" s="30" customFormat="1" ht="18">
      <c r="A8" s="61" t="s">
        <v>4</v>
      </c>
      <c r="B8" s="466">
        <v>0.125</v>
      </c>
      <c r="C8" s="302">
        <f>(+C7*$B8)</f>
        <v>0</v>
      </c>
      <c r="D8" s="302">
        <f aca="true" t="shared" si="2" ref="D8:N8">(+D7*$B8)</f>
        <v>0</v>
      </c>
      <c r="E8" s="302">
        <f t="shared" si="2"/>
        <v>0</v>
      </c>
      <c r="F8" s="302">
        <f t="shared" si="2"/>
        <v>0</v>
      </c>
      <c r="G8" s="302">
        <f t="shared" si="2"/>
        <v>0</v>
      </c>
      <c r="H8" s="302">
        <f t="shared" si="2"/>
        <v>0</v>
      </c>
      <c r="I8" s="302">
        <f t="shared" si="2"/>
        <v>0</v>
      </c>
      <c r="J8" s="302">
        <f t="shared" si="2"/>
        <v>0</v>
      </c>
      <c r="K8" s="302">
        <f t="shared" si="2"/>
        <v>0</v>
      </c>
      <c r="L8" s="302">
        <f t="shared" si="2"/>
        <v>0</v>
      </c>
      <c r="M8" s="302">
        <f t="shared" si="2"/>
        <v>0</v>
      </c>
      <c r="N8" s="302">
        <f t="shared" si="2"/>
        <v>0</v>
      </c>
      <c r="O8" s="295">
        <f t="shared" si="1"/>
        <v>0</v>
      </c>
      <c r="P8" s="61" t="str">
        <f t="shared" si="0"/>
        <v>Payroll Taxes</v>
      </c>
      <c r="Q8" s="634">
        <f>+B8</f>
        <v>0.125</v>
      </c>
      <c r="R8" s="302">
        <f aca="true" t="shared" si="3" ref="R8:AC8">(+R7*$B8)</f>
        <v>0</v>
      </c>
      <c r="S8" s="302">
        <f t="shared" si="3"/>
        <v>0</v>
      </c>
      <c r="T8" s="302">
        <f t="shared" si="3"/>
        <v>0</v>
      </c>
      <c r="U8" s="302">
        <f t="shared" si="3"/>
        <v>0</v>
      </c>
      <c r="V8" s="302">
        <f t="shared" si="3"/>
        <v>0</v>
      </c>
      <c r="W8" s="302">
        <f t="shared" si="3"/>
        <v>0</v>
      </c>
      <c r="X8" s="302">
        <f t="shared" si="3"/>
        <v>0</v>
      </c>
      <c r="Y8" s="302">
        <f t="shared" si="3"/>
        <v>0</v>
      </c>
      <c r="Z8" s="302">
        <f t="shared" si="3"/>
        <v>0</v>
      </c>
      <c r="AA8" s="302">
        <f t="shared" si="3"/>
        <v>0</v>
      </c>
      <c r="AB8" s="302">
        <f t="shared" si="3"/>
        <v>0</v>
      </c>
      <c r="AC8" s="302">
        <f t="shared" si="3"/>
        <v>0</v>
      </c>
      <c r="AD8" s="295">
        <f aca="true" t="shared" si="4" ref="AD8:AD16">SUM(R8:AC8)</f>
        <v>0</v>
      </c>
    </row>
    <row r="9" spans="1:30" s="30" customFormat="1" ht="18">
      <c r="A9" s="61" t="s">
        <v>141</v>
      </c>
      <c r="B9" s="607">
        <v>2500</v>
      </c>
      <c r="C9" s="302">
        <f>+$B9*+Headcount!C21</f>
        <v>0</v>
      </c>
      <c r="D9" s="302">
        <f>+$B9*+Headcount!D21</f>
        <v>0</v>
      </c>
      <c r="E9" s="302">
        <f>+$B9*+Headcount!E21</f>
        <v>0</v>
      </c>
      <c r="F9" s="302">
        <f>+$B9*+Headcount!F21</f>
        <v>0</v>
      </c>
      <c r="G9" s="302">
        <f>+$B9*+Headcount!G21</f>
        <v>0</v>
      </c>
      <c r="H9" s="302">
        <f>+$B9*+Headcount!H21</f>
        <v>0</v>
      </c>
      <c r="I9" s="302">
        <f>+$B9*+Headcount!I21</f>
        <v>0</v>
      </c>
      <c r="J9" s="302">
        <f>+$B9*+Headcount!J21</f>
        <v>0</v>
      </c>
      <c r="K9" s="302">
        <f>+$B9*+Headcount!K21</f>
        <v>0</v>
      </c>
      <c r="L9" s="302">
        <f>+$B9*+Headcount!L21</f>
        <v>0</v>
      </c>
      <c r="M9" s="302">
        <f>+$B9*+Headcount!M21</f>
        <v>0</v>
      </c>
      <c r="N9" s="302">
        <f>+$B9*+Headcount!N21</f>
        <v>0</v>
      </c>
      <c r="O9" s="295">
        <f t="shared" si="1"/>
        <v>0</v>
      </c>
      <c r="P9" s="61" t="str">
        <f t="shared" si="0"/>
        <v>Benefits</v>
      </c>
      <c r="Q9" s="608">
        <f>+B9</f>
        <v>2500</v>
      </c>
      <c r="R9" s="302">
        <f>+$Q9*+Headcount!R21</f>
        <v>0</v>
      </c>
      <c r="S9" s="302">
        <f>+$Q9*+Headcount!S21</f>
        <v>0</v>
      </c>
      <c r="T9" s="302">
        <f>+$Q9*+Headcount!T21</f>
        <v>0</v>
      </c>
      <c r="U9" s="302">
        <f>+$Q9*+Headcount!U21</f>
        <v>0</v>
      </c>
      <c r="V9" s="302">
        <f>+$Q9*+Headcount!V21</f>
        <v>0</v>
      </c>
      <c r="W9" s="302">
        <f>+$Q9*+Headcount!W21</f>
        <v>0</v>
      </c>
      <c r="X9" s="302">
        <f>+$Q9*+Headcount!X21</f>
        <v>0</v>
      </c>
      <c r="Y9" s="302">
        <f>+$Q9*+Headcount!Y21</f>
        <v>0</v>
      </c>
      <c r="Z9" s="302">
        <f>+$Q9*+Headcount!Z21</f>
        <v>0</v>
      </c>
      <c r="AA9" s="302">
        <f>+$Q9*+Headcount!AA21</f>
        <v>0</v>
      </c>
      <c r="AB9" s="302">
        <f>+$Q9*+Headcount!AB21</f>
        <v>0</v>
      </c>
      <c r="AC9" s="302">
        <f>+$Q9*+Headcount!AC21</f>
        <v>0</v>
      </c>
      <c r="AD9" s="295">
        <f t="shared" si="4"/>
        <v>0</v>
      </c>
    </row>
    <row r="10" spans="1:30" s="30" customFormat="1" ht="18">
      <c r="A10" s="61" t="s">
        <v>382</v>
      </c>
      <c r="B10" s="61">
        <v>0</v>
      </c>
      <c r="C10" s="61">
        <f>+$B10*'Sales-COS'!C39</f>
        <v>0</v>
      </c>
      <c r="D10" s="61">
        <f>+$B10*'Sales-COS'!D39</f>
        <v>0</v>
      </c>
      <c r="E10" s="61">
        <f>+$B10*'Sales-COS'!E39</f>
        <v>0</v>
      </c>
      <c r="F10" s="61">
        <f>+$B10*'Sales-COS'!F39</f>
        <v>0</v>
      </c>
      <c r="G10" s="61">
        <f>+$B10*'Sales-COS'!G39</f>
        <v>0</v>
      </c>
      <c r="H10" s="61">
        <f>+$B10*'Sales-COS'!H39</f>
        <v>0</v>
      </c>
      <c r="I10" s="61">
        <f>+$B10*'Sales-COS'!I39</f>
        <v>0</v>
      </c>
      <c r="J10" s="61">
        <f>+$B10*'Sales-COS'!J39</f>
        <v>0</v>
      </c>
      <c r="K10" s="61">
        <f>+$B10*'Sales-COS'!K39</f>
        <v>0</v>
      </c>
      <c r="L10" s="61">
        <f>+$B10*'Sales-COS'!L39</f>
        <v>0</v>
      </c>
      <c r="M10" s="61">
        <f>+$B10*'Sales-COS'!M39</f>
        <v>0</v>
      </c>
      <c r="N10" s="61">
        <f>+$B10*'Sales-COS'!N39</f>
        <v>0</v>
      </c>
      <c r="O10" s="295">
        <f t="shared" si="1"/>
        <v>0</v>
      </c>
      <c r="P10" s="61" t="str">
        <f t="shared" si="0"/>
        <v>Sales Commissions</v>
      </c>
      <c r="Q10" s="61">
        <f aca="true" t="shared" si="5" ref="Q10:Q15">+B10</f>
        <v>0</v>
      </c>
      <c r="R10" s="61">
        <f>+$B10*'Sales-COS'!R39</f>
        <v>0</v>
      </c>
      <c r="S10" s="61">
        <f>+$B10*'Sales-COS'!S39</f>
        <v>0</v>
      </c>
      <c r="T10" s="61">
        <f>+$B10*'Sales-COS'!T39</f>
        <v>0</v>
      </c>
      <c r="U10" s="61">
        <f>+$B10*'Sales-COS'!U39</f>
        <v>0</v>
      </c>
      <c r="V10" s="61">
        <f>+$B10*'Sales-COS'!V39</f>
        <v>0</v>
      </c>
      <c r="W10" s="61">
        <f>+$B10*'Sales-COS'!W39</f>
        <v>0</v>
      </c>
      <c r="X10" s="61">
        <f>+$B10*'Sales-COS'!X39</f>
        <v>0</v>
      </c>
      <c r="Y10" s="61">
        <f>+$B10*'Sales-COS'!Y39</f>
        <v>0</v>
      </c>
      <c r="Z10" s="61">
        <f>+$B10*'Sales-COS'!Z39</f>
        <v>0</v>
      </c>
      <c r="AA10" s="61">
        <f>+$B10*'Sales-COS'!AA39</f>
        <v>0</v>
      </c>
      <c r="AB10" s="61">
        <f>+$B10*'Sales-COS'!AB39</f>
        <v>0</v>
      </c>
      <c r="AC10" s="61">
        <f>+$B10*'Sales-COS'!AC39</f>
        <v>0</v>
      </c>
      <c r="AD10" s="295">
        <f t="shared" si="4"/>
        <v>0</v>
      </c>
    </row>
    <row r="11" spans="1:30" s="30" customFormat="1" ht="18">
      <c r="A11" s="61" t="s">
        <v>402</v>
      </c>
      <c r="B11" s="607">
        <v>10</v>
      </c>
      <c r="C11" s="302">
        <f>+$B11*+Headcount!C21</f>
        <v>0</v>
      </c>
      <c r="D11" s="302">
        <f>+$B11*+Headcount!D21</f>
        <v>0</v>
      </c>
      <c r="E11" s="302">
        <f>+$B11*+Headcount!E21</f>
        <v>0</v>
      </c>
      <c r="F11" s="302">
        <f>+$B11*+Headcount!F21</f>
        <v>0</v>
      </c>
      <c r="G11" s="302">
        <f>+$B11*+Headcount!G21</f>
        <v>0</v>
      </c>
      <c r="H11" s="302">
        <f>+$B11*+Headcount!H21</f>
        <v>0</v>
      </c>
      <c r="I11" s="302">
        <f>+$B11*+Headcount!I21</f>
        <v>0</v>
      </c>
      <c r="J11" s="302">
        <f>+$B11*+Headcount!J21</f>
        <v>0</v>
      </c>
      <c r="K11" s="302">
        <f>+$B11*+Headcount!K21</f>
        <v>0</v>
      </c>
      <c r="L11" s="302">
        <f>+$B11*+Headcount!L21</f>
        <v>0</v>
      </c>
      <c r="M11" s="302">
        <f>+$B11*+Headcount!M21</f>
        <v>0</v>
      </c>
      <c r="N11" s="302">
        <f>+$B11*+Headcount!N21</f>
        <v>0</v>
      </c>
      <c r="O11" s="295">
        <f t="shared" si="1"/>
        <v>0</v>
      </c>
      <c r="P11" s="61" t="str">
        <f t="shared" si="0"/>
        <v>Auto Expense</v>
      </c>
      <c r="Q11" s="608">
        <f t="shared" si="5"/>
        <v>10</v>
      </c>
      <c r="R11" s="302">
        <f>+$Q11*+Headcount!R21</f>
        <v>0</v>
      </c>
      <c r="S11" s="302">
        <f>+$Q11*+Headcount!S21</f>
        <v>0</v>
      </c>
      <c r="T11" s="302">
        <f>+$Q11*+Headcount!T21</f>
        <v>0</v>
      </c>
      <c r="U11" s="302">
        <f>+$Q11*+Headcount!U21</f>
        <v>0</v>
      </c>
      <c r="V11" s="302">
        <f>+$Q11*+Headcount!V21</f>
        <v>0</v>
      </c>
      <c r="W11" s="302">
        <f>+$Q11*+Headcount!W21</f>
        <v>0</v>
      </c>
      <c r="X11" s="302">
        <f>+$Q11*+Headcount!X21</f>
        <v>0</v>
      </c>
      <c r="Y11" s="302">
        <f>+$Q11*+Headcount!Y21</f>
        <v>0</v>
      </c>
      <c r="Z11" s="302">
        <f>+$Q11*+Headcount!Z21</f>
        <v>0</v>
      </c>
      <c r="AA11" s="302">
        <f>+$Q11*+Headcount!AA21</f>
        <v>0</v>
      </c>
      <c r="AB11" s="302">
        <f>+$Q11*+Headcount!AB21</f>
        <v>0</v>
      </c>
      <c r="AC11" s="302">
        <f>+$Q11*+Headcount!AC21</f>
        <v>0</v>
      </c>
      <c r="AD11" s="295">
        <f t="shared" si="4"/>
        <v>0</v>
      </c>
    </row>
    <row r="12" spans="1:30" s="30" customFormat="1" ht="18">
      <c r="A12" s="61" t="s">
        <v>150</v>
      </c>
      <c r="B12" s="607">
        <v>15</v>
      </c>
      <c r="C12" s="302">
        <f>+$B12*Headcount!C21</f>
        <v>0</v>
      </c>
      <c r="D12" s="302">
        <f>+$B12*Headcount!D21</f>
        <v>0</v>
      </c>
      <c r="E12" s="302">
        <f>+$B12*Headcount!E21</f>
        <v>0</v>
      </c>
      <c r="F12" s="302">
        <f>+$B12*Headcount!F21</f>
        <v>0</v>
      </c>
      <c r="G12" s="302">
        <f>+$B12*Headcount!G21</f>
        <v>0</v>
      </c>
      <c r="H12" s="302">
        <f>+$B12*Headcount!H21</f>
        <v>0</v>
      </c>
      <c r="I12" s="302">
        <f>+$B12*Headcount!I21</f>
        <v>0</v>
      </c>
      <c r="J12" s="302">
        <f>+$B12*Headcount!J21</f>
        <v>0</v>
      </c>
      <c r="K12" s="302">
        <f>+$B12*Headcount!K21</f>
        <v>0</v>
      </c>
      <c r="L12" s="302">
        <f>+$B12*Headcount!L21</f>
        <v>0</v>
      </c>
      <c r="M12" s="302">
        <f>+$B12*Headcount!M21</f>
        <v>0</v>
      </c>
      <c r="N12" s="302">
        <f>+$B12*Headcount!N21</f>
        <v>0</v>
      </c>
      <c r="O12" s="295">
        <f t="shared" si="1"/>
        <v>0</v>
      </c>
      <c r="P12" s="61" t="str">
        <f t="shared" si="0"/>
        <v>Software Licenses/Books</v>
      </c>
      <c r="Q12" s="608">
        <f t="shared" si="5"/>
        <v>15</v>
      </c>
      <c r="R12" s="302">
        <f>+$Q12*Headcount!R21</f>
        <v>0</v>
      </c>
      <c r="S12" s="302">
        <f>+$Q12*Headcount!S21</f>
        <v>0</v>
      </c>
      <c r="T12" s="302">
        <f>+$Q12*Headcount!T21</f>
        <v>0</v>
      </c>
      <c r="U12" s="302">
        <f>+$Q12*Headcount!U21</f>
        <v>0</v>
      </c>
      <c r="V12" s="302">
        <f>+$Q12*Headcount!V21</f>
        <v>0</v>
      </c>
      <c r="W12" s="302">
        <f>+$Q12*Headcount!W21</f>
        <v>0</v>
      </c>
      <c r="X12" s="302">
        <f>+$Q12*Headcount!X21</f>
        <v>0</v>
      </c>
      <c r="Y12" s="302">
        <f>+$Q12*Headcount!Y21</f>
        <v>0</v>
      </c>
      <c r="Z12" s="302">
        <f>+$Q12*Headcount!Z21</f>
        <v>0</v>
      </c>
      <c r="AA12" s="302">
        <f>+$Q12*Headcount!AA21</f>
        <v>0</v>
      </c>
      <c r="AB12" s="302">
        <f>+$Q12*Headcount!AB21</f>
        <v>0</v>
      </c>
      <c r="AC12" s="302">
        <f>+$Q12*Headcount!AC21</f>
        <v>0</v>
      </c>
      <c r="AD12" s="295">
        <f t="shared" si="4"/>
        <v>0</v>
      </c>
    </row>
    <row r="13" spans="1:30" s="30" customFormat="1" ht="18">
      <c r="A13" s="61" t="s">
        <v>143</v>
      </c>
      <c r="B13" s="366">
        <v>0</v>
      </c>
      <c r="C13" s="61">
        <f>+Headcount!C51</f>
        <v>0</v>
      </c>
      <c r="D13" s="61">
        <f>+Headcount!D51</f>
        <v>0</v>
      </c>
      <c r="E13" s="61">
        <f>+Headcount!E51</f>
        <v>0</v>
      </c>
      <c r="F13" s="61">
        <f>+Headcount!F51</f>
        <v>0</v>
      </c>
      <c r="G13" s="61">
        <f>+Headcount!G51</f>
        <v>0</v>
      </c>
      <c r="H13" s="61">
        <f>+Headcount!H51</f>
        <v>0</v>
      </c>
      <c r="I13" s="61">
        <f>+Headcount!I51</f>
        <v>0</v>
      </c>
      <c r="J13" s="61">
        <f>+Headcount!J51</f>
        <v>0</v>
      </c>
      <c r="K13" s="61">
        <f>+Headcount!K51</f>
        <v>0</v>
      </c>
      <c r="L13" s="61">
        <f>+Headcount!L51</f>
        <v>0</v>
      </c>
      <c r="M13" s="61">
        <f>+Headcount!M51</f>
        <v>0</v>
      </c>
      <c r="N13" s="61">
        <f>+Headcount!N51</f>
        <v>0</v>
      </c>
      <c r="O13" s="295">
        <f>SUM(C13:N13)</f>
        <v>0</v>
      </c>
      <c r="P13" s="61" t="str">
        <f>+A13</f>
        <v>Consulting Contracts</v>
      </c>
      <c r="Q13" s="61">
        <f t="shared" si="5"/>
        <v>0</v>
      </c>
      <c r="R13" s="61">
        <f>+Headcount!R51</f>
        <v>0</v>
      </c>
      <c r="S13" s="61">
        <f>+Headcount!S51</f>
        <v>0</v>
      </c>
      <c r="T13" s="61">
        <f>+Headcount!T51</f>
        <v>0</v>
      </c>
      <c r="U13" s="61">
        <f>+Headcount!U51</f>
        <v>0</v>
      </c>
      <c r="V13" s="61">
        <f>+Headcount!V51</f>
        <v>0</v>
      </c>
      <c r="W13" s="61">
        <f>+Headcount!W51</f>
        <v>0</v>
      </c>
      <c r="X13" s="61">
        <f>+Headcount!X51</f>
        <v>0</v>
      </c>
      <c r="Y13" s="61">
        <f>+Headcount!Y51</f>
        <v>0</v>
      </c>
      <c r="Z13" s="61">
        <f>+Headcount!Z51</f>
        <v>0</v>
      </c>
      <c r="AA13" s="61">
        <f>+Headcount!AA51</f>
        <v>0</v>
      </c>
      <c r="AB13" s="61">
        <f>+Headcount!AB51</f>
        <v>0</v>
      </c>
      <c r="AC13" s="61">
        <f>+Headcount!AC51</f>
        <v>0</v>
      </c>
      <c r="AD13" s="295">
        <f t="shared" si="4"/>
        <v>0</v>
      </c>
    </row>
    <row r="14" spans="1:30" s="30" customFormat="1" ht="18">
      <c r="A14" s="61" t="s">
        <v>400</v>
      </c>
      <c r="B14" s="607">
        <v>15</v>
      </c>
      <c r="C14" s="302">
        <f>+$B14*Headcount!C21</f>
        <v>0</v>
      </c>
      <c r="D14" s="302">
        <f>+$B14*Headcount!D21</f>
        <v>0</v>
      </c>
      <c r="E14" s="302">
        <f>+$B14*Headcount!E21</f>
        <v>0</v>
      </c>
      <c r="F14" s="302">
        <f>+$B14*Headcount!F21</f>
        <v>0</v>
      </c>
      <c r="G14" s="302">
        <f>+$B14*Headcount!G21</f>
        <v>0</v>
      </c>
      <c r="H14" s="302">
        <f>+$B14*Headcount!H21</f>
        <v>0</v>
      </c>
      <c r="I14" s="302">
        <f>+$B14*Headcount!I21</f>
        <v>0</v>
      </c>
      <c r="J14" s="302">
        <f>+$B14*Headcount!J21</f>
        <v>0</v>
      </c>
      <c r="K14" s="302">
        <f>+$B14*Headcount!K21</f>
        <v>0</v>
      </c>
      <c r="L14" s="302">
        <f>+$B14*Headcount!L21</f>
        <v>0</v>
      </c>
      <c r="M14" s="302">
        <f>+$B14*Headcount!M21</f>
        <v>0</v>
      </c>
      <c r="N14" s="302">
        <f>+$B14*Headcount!N21</f>
        <v>0</v>
      </c>
      <c r="O14" s="295">
        <f>SUM(C14:N14)</f>
        <v>0</v>
      </c>
      <c r="P14" s="61" t="str">
        <f>+A14</f>
        <v>Employee Incentives</v>
      </c>
      <c r="Q14" s="608">
        <f>+B14</f>
        <v>15</v>
      </c>
      <c r="R14" s="302">
        <f>+$Q14*Headcount!R21</f>
        <v>0</v>
      </c>
      <c r="S14" s="302">
        <f>+$Q14*Headcount!S21</f>
        <v>0</v>
      </c>
      <c r="T14" s="302">
        <f>+$Q14*Headcount!T21</f>
        <v>0</v>
      </c>
      <c r="U14" s="302">
        <f>+$Q14*Headcount!U21</f>
        <v>0</v>
      </c>
      <c r="V14" s="302">
        <f>+$Q14*Headcount!V21</f>
        <v>0</v>
      </c>
      <c r="W14" s="302">
        <f>+$Q14*Headcount!W21</f>
        <v>0</v>
      </c>
      <c r="X14" s="302">
        <f>+$Q14*Headcount!X21</f>
        <v>0</v>
      </c>
      <c r="Y14" s="302">
        <f>+$Q14*Headcount!Y21</f>
        <v>0</v>
      </c>
      <c r="Z14" s="302">
        <f>+$Q14*Headcount!Z21</f>
        <v>0</v>
      </c>
      <c r="AA14" s="302">
        <f>+$Q14*Headcount!AA21</f>
        <v>0</v>
      </c>
      <c r="AB14" s="302">
        <f>+$Q14*Headcount!AB21</f>
        <v>0</v>
      </c>
      <c r="AC14" s="302">
        <f>+$Q14*Headcount!AC21</f>
        <v>0</v>
      </c>
      <c r="AD14" s="295">
        <f t="shared" si="4"/>
        <v>0</v>
      </c>
    </row>
    <row r="15" spans="1:30" s="30" customFormat="1" ht="18">
      <c r="A15" s="454" t="s">
        <v>6</v>
      </c>
      <c r="B15" s="454"/>
      <c r="C15" s="71">
        <v>0</v>
      </c>
      <c r="D15" s="71">
        <f>+C15</f>
        <v>0</v>
      </c>
      <c r="E15" s="71">
        <f aca="true" t="shared" si="6" ref="E15:N15">+D15</f>
        <v>0</v>
      </c>
      <c r="F15" s="71">
        <f t="shared" si="6"/>
        <v>0</v>
      </c>
      <c r="G15" s="71">
        <f t="shared" si="6"/>
        <v>0</v>
      </c>
      <c r="H15" s="71">
        <f t="shared" si="6"/>
        <v>0</v>
      </c>
      <c r="I15" s="71">
        <f t="shared" si="6"/>
        <v>0</v>
      </c>
      <c r="J15" s="71">
        <f t="shared" si="6"/>
        <v>0</v>
      </c>
      <c r="K15" s="71">
        <f t="shared" si="6"/>
        <v>0</v>
      </c>
      <c r="L15" s="71">
        <f t="shared" si="6"/>
        <v>0</v>
      </c>
      <c r="M15" s="71">
        <f t="shared" si="6"/>
        <v>0</v>
      </c>
      <c r="N15" s="71">
        <f t="shared" si="6"/>
        <v>0</v>
      </c>
      <c r="O15" s="79">
        <f>SUM(C15:N15)</f>
        <v>0</v>
      </c>
      <c r="P15" s="71" t="str">
        <f>+A15</f>
        <v>Other</v>
      </c>
      <c r="Q15" s="71">
        <f t="shared" si="5"/>
        <v>0</v>
      </c>
      <c r="R15" s="71">
        <f>+N15</f>
        <v>0</v>
      </c>
      <c r="S15" s="71">
        <f>+R15</f>
        <v>0</v>
      </c>
      <c r="T15" s="71">
        <f aca="true" t="shared" si="7" ref="T15:AC15">+S15</f>
        <v>0</v>
      </c>
      <c r="U15" s="71">
        <f t="shared" si="7"/>
        <v>0</v>
      </c>
      <c r="V15" s="71">
        <f t="shared" si="7"/>
        <v>0</v>
      </c>
      <c r="W15" s="71">
        <f t="shared" si="7"/>
        <v>0</v>
      </c>
      <c r="X15" s="71">
        <f t="shared" si="7"/>
        <v>0</v>
      </c>
      <c r="Y15" s="71">
        <f t="shared" si="7"/>
        <v>0</v>
      </c>
      <c r="Z15" s="71">
        <f t="shared" si="7"/>
        <v>0</v>
      </c>
      <c r="AA15" s="71">
        <f t="shared" si="7"/>
        <v>0</v>
      </c>
      <c r="AB15" s="71">
        <f t="shared" si="7"/>
        <v>0</v>
      </c>
      <c r="AC15" s="71">
        <f t="shared" si="7"/>
        <v>0</v>
      </c>
      <c r="AD15" s="79">
        <f t="shared" si="4"/>
        <v>0</v>
      </c>
    </row>
    <row r="16" spans="1:30" s="30" customFormat="1" ht="18">
      <c r="A16" s="61" t="s">
        <v>426</v>
      </c>
      <c r="B16" s="61"/>
      <c r="C16" s="61">
        <f aca="true" t="shared" si="8" ref="C16:N16">SUM(C7:C15)</f>
        <v>0</v>
      </c>
      <c r="D16" s="61">
        <f t="shared" si="8"/>
        <v>0</v>
      </c>
      <c r="E16" s="61">
        <f t="shared" si="8"/>
        <v>0</v>
      </c>
      <c r="F16" s="61">
        <f t="shared" si="8"/>
        <v>0</v>
      </c>
      <c r="G16" s="61">
        <f t="shared" si="8"/>
        <v>0</v>
      </c>
      <c r="H16" s="61">
        <f t="shared" si="8"/>
        <v>0</v>
      </c>
      <c r="I16" s="61">
        <f t="shared" si="8"/>
        <v>0</v>
      </c>
      <c r="J16" s="61">
        <f t="shared" si="8"/>
        <v>0</v>
      </c>
      <c r="K16" s="61">
        <f t="shared" si="8"/>
        <v>0</v>
      </c>
      <c r="L16" s="61">
        <f t="shared" si="8"/>
        <v>0</v>
      </c>
      <c r="M16" s="61">
        <f t="shared" si="8"/>
        <v>0</v>
      </c>
      <c r="N16" s="61">
        <f t="shared" si="8"/>
        <v>0</v>
      </c>
      <c r="O16" s="295">
        <f>SUM(C16:N16)</f>
        <v>0</v>
      </c>
      <c r="P16" s="61" t="str">
        <f>+A16</f>
        <v>Total Employee Related</v>
      </c>
      <c r="Q16" s="61"/>
      <c r="R16" s="61">
        <f aca="true" t="shared" si="9" ref="R16:AC16">SUM(R7:R15)</f>
        <v>0</v>
      </c>
      <c r="S16" s="61">
        <f t="shared" si="9"/>
        <v>0</v>
      </c>
      <c r="T16" s="61">
        <f t="shared" si="9"/>
        <v>0</v>
      </c>
      <c r="U16" s="61">
        <f t="shared" si="9"/>
        <v>0</v>
      </c>
      <c r="V16" s="61">
        <f t="shared" si="9"/>
        <v>0</v>
      </c>
      <c r="W16" s="61">
        <f t="shared" si="9"/>
        <v>0</v>
      </c>
      <c r="X16" s="61">
        <f t="shared" si="9"/>
        <v>0</v>
      </c>
      <c r="Y16" s="61">
        <f t="shared" si="9"/>
        <v>0</v>
      </c>
      <c r="Z16" s="61">
        <f t="shared" si="9"/>
        <v>0</v>
      </c>
      <c r="AA16" s="61">
        <f t="shared" si="9"/>
        <v>0</v>
      </c>
      <c r="AB16" s="61">
        <f t="shared" si="9"/>
        <v>0</v>
      </c>
      <c r="AC16" s="61">
        <f t="shared" si="9"/>
        <v>0</v>
      </c>
      <c r="AD16" s="295">
        <f t="shared" si="4"/>
        <v>0</v>
      </c>
    </row>
    <row r="17" spans="1:30" s="30" customFormat="1" ht="18">
      <c r="A17" s="165"/>
      <c r="B17" s="279"/>
      <c r="C17" s="276"/>
      <c r="D17" s="276"/>
      <c r="E17" s="276"/>
      <c r="F17" s="276"/>
      <c r="G17" s="276"/>
      <c r="H17" s="276"/>
      <c r="I17" s="276"/>
      <c r="J17" s="276"/>
      <c r="K17" s="276"/>
      <c r="L17" s="276"/>
      <c r="M17" s="276"/>
      <c r="N17" s="276"/>
      <c r="O17" s="499"/>
      <c r="P17" s="280"/>
      <c r="Q17" s="279"/>
      <c r="R17" s="276"/>
      <c r="S17" s="276"/>
      <c r="T17" s="276"/>
      <c r="U17" s="276"/>
      <c r="V17" s="276"/>
      <c r="W17" s="276"/>
      <c r="X17" s="276"/>
      <c r="Y17" s="276"/>
      <c r="Z17" s="276"/>
      <c r="AA17" s="276"/>
      <c r="AB17" s="276"/>
      <c r="AC17" s="276"/>
      <c r="AD17" s="499"/>
    </row>
    <row r="18" spans="1:30" s="30" customFormat="1" ht="18">
      <c r="A18" s="165" t="s">
        <v>553</v>
      </c>
      <c r="B18" s="279"/>
      <c r="C18" s="276"/>
      <c r="D18" s="276"/>
      <c r="E18" s="276"/>
      <c r="F18" s="276"/>
      <c r="G18" s="276"/>
      <c r="H18" s="276"/>
      <c r="I18" s="276"/>
      <c r="J18" s="276"/>
      <c r="K18" s="276"/>
      <c r="L18" s="276"/>
      <c r="M18" s="276"/>
      <c r="N18" s="276"/>
      <c r="O18" s="499"/>
      <c r="P18" s="280" t="str">
        <f aca="true" t="shared" si="10" ref="P18:P23">+A18</f>
        <v>Advertising, Promotion, &amp; Bus Dev</v>
      </c>
      <c r="Q18" s="279"/>
      <c r="R18" s="276"/>
      <c r="S18" s="276"/>
      <c r="T18" s="276"/>
      <c r="U18" s="276"/>
      <c r="V18" s="276"/>
      <c r="W18" s="276"/>
      <c r="X18" s="276"/>
      <c r="Y18" s="276"/>
      <c r="Z18" s="276"/>
      <c r="AA18" s="276"/>
      <c r="AB18" s="276"/>
      <c r="AC18" s="276"/>
      <c r="AD18" s="499"/>
    </row>
    <row r="19" spans="1:30" s="30" customFormat="1" ht="18">
      <c r="A19" s="528" t="s">
        <v>399</v>
      </c>
      <c r="B19" s="279"/>
      <c r="C19" s="281">
        <v>0</v>
      </c>
      <c r="D19" s="281">
        <f aca="true" t="shared" si="11" ref="D19:N22">+C19</f>
        <v>0</v>
      </c>
      <c r="E19" s="281">
        <f t="shared" si="11"/>
        <v>0</v>
      </c>
      <c r="F19" s="281">
        <f>+E19</f>
        <v>0</v>
      </c>
      <c r="G19" s="281">
        <f t="shared" si="11"/>
        <v>0</v>
      </c>
      <c r="H19" s="281">
        <f t="shared" si="11"/>
        <v>0</v>
      </c>
      <c r="I19" s="281">
        <f>+H19</f>
        <v>0</v>
      </c>
      <c r="J19" s="281">
        <f t="shared" si="11"/>
        <v>0</v>
      </c>
      <c r="K19" s="281">
        <f t="shared" si="11"/>
        <v>0</v>
      </c>
      <c r="L19" s="281">
        <f t="shared" si="11"/>
        <v>0</v>
      </c>
      <c r="M19" s="281">
        <f t="shared" si="11"/>
        <v>0</v>
      </c>
      <c r="N19" s="281">
        <f t="shared" si="11"/>
        <v>0</v>
      </c>
      <c r="O19" s="499">
        <f>SUM(C19:N19)</f>
        <v>0</v>
      </c>
      <c r="P19" s="128" t="str">
        <f t="shared" si="10"/>
        <v>Marketing Materials (Corp)</v>
      </c>
      <c r="Q19" s="279"/>
      <c r="R19" s="281">
        <f>+N19</f>
        <v>0</v>
      </c>
      <c r="S19" s="281">
        <f aca="true" t="shared" si="12" ref="S19:AC22">+R19</f>
        <v>0</v>
      </c>
      <c r="T19" s="281">
        <f t="shared" si="12"/>
        <v>0</v>
      </c>
      <c r="U19" s="281">
        <f t="shared" si="12"/>
        <v>0</v>
      </c>
      <c r="V19" s="281">
        <f t="shared" si="12"/>
        <v>0</v>
      </c>
      <c r="W19" s="281">
        <f t="shared" si="12"/>
        <v>0</v>
      </c>
      <c r="X19" s="281">
        <f t="shared" si="12"/>
        <v>0</v>
      </c>
      <c r="Y19" s="281">
        <f t="shared" si="12"/>
        <v>0</v>
      </c>
      <c r="Z19" s="281">
        <f t="shared" si="12"/>
        <v>0</v>
      </c>
      <c r="AA19" s="281">
        <f t="shared" si="12"/>
        <v>0</v>
      </c>
      <c r="AB19" s="281">
        <f t="shared" si="12"/>
        <v>0</v>
      </c>
      <c r="AC19" s="281">
        <f t="shared" si="12"/>
        <v>0</v>
      </c>
      <c r="AD19" s="499">
        <f>SUM(R19:AC19)</f>
        <v>0</v>
      </c>
    </row>
    <row r="20" spans="1:30" s="30" customFormat="1" ht="18">
      <c r="A20" s="528" t="s">
        <v>392</v>
      </c>
      <c r="B20" s="279"/>
      <c r="C20" s="281">
        <v>0</v>
      </c>
      <c r="D20" s="281">
        <f t="shared" si="11"/>
        <v>0</v>
      </c>
      <c r="E20" s="281">
        <f t="shared" si="11"/>
        <v>0</v>
      </c>
      <c r="F20" s="281">
        <f t="shared" si="11"/>
        <v>0</v>
      </c>
      <c r="G20" s="281">
        <f t="shared" si="11"/>
        <v>0</v>
      </c>
      <c r="H20" s="281">
        <f t="shared" si="11"/>
        <v>0</v>
      </c>
      <c r="I20" s="281">
        <f t="shared" si="11"/>
        <v>0</v>
      </c>
      <c r="J20" s="281">
        <f t="shared" si="11"/>
        <v>0</v>
      </c>
      <c r="K20" s="281">
        <f t="shared" si="11"/>
        <v>0</v>
      </c>
      <c r="L20" s="281">
        <f aca="true" t="shared" si="13" ref="L20:N21">+K20</f>
        <v>0</v>
      </c>
      <c r="M20" s="281">
        <f t="shared" si="13"/>
        <v>0</v>
      </c>
      <c r="N20" s="281">
        <f t="shared" si="13"/>
        <v>0</v>
      </c>
      <c r="O20" s="499">
        <f>SUM(C20:N20)</f>
        <v>0</v>
      </c>
      <c r="P20" s="128" t="str">
        <f t="shared" si="10"/>
        <v>Branding, Ad Agency</v>
      </c>
      <c r="Q20" s="279"/>
      <c r="R20" s="281">
        <f>+N20</f>
        <v>0</v>
      </c>
      <c r="S20" s="281">
        <f t="shared" si="12"/>
        <v>0</v>
      </c>
      <c r="T20" s="281">
        <f t="shared" si="12"/>
        <v>0</v>
      </c>
      <c r="U20" s="281">
        <f t="shared" si="12"/>
        <v>0</v>
      </c>
      <c r="V20" s="281">
        <f t="shared" si="12"/>
        <v>0</v>
      </c>
      <c r="W20" s="281">
        <f t="shared" si="12"/>
        <v>0</v>
      </c>
      <c r="X20" s="281">
        <f t="shared" si="12"/>
        <v>0</v>
      </c>
      <c r="Y20" s="281">
        <f t="shared" si="12"/>
        <v>0</v>
      </c>
      <c r="Z20" s="281">
        <f t="shared" si="12"/>
        <v>0</v>
      </c>
      <c r="AA20" s="281">
        <f t="shared" si="12"/>
        <v>0</v>
      </c>
      <c r="AB20" s="281">
        <f t="shared" si="12"/>
        <v>0</v>
      </c>
      <c r="AC20" s="281">
        <f t="shared" si="12"/>
        <v>0</v>
      </c>
      <c r="AD20" s="499">
        <f>SUM(R20:AC20)</f>
        <v>0</v>
      </c>
    </row>
    <row r="21" spans="1:30" s="30" customFormat="1" ht="18">
      <c r="A21" s="529" t="s">
        <v>152</v>
      </c>
      <c r="B21" s="127"/>
      <c r="C21" s="281">
        <v>0</v>
      </c>
      <c r="D21" s="281">
        <f t="shared" si="11"/>
        <v>0</v>
      </c>
      <c r="E21" s="281">
        <f t="shared" si="11"/>
        <v>0</v>
      </c>
      <c r="F21" s="281">
        <f t="shared" si="11"/>
        <v>0</v>
      </c>
      <c r="G21" s="281">
        <f t="shared" si="11"/>
        <v>0</v>
      </c>
      <c r="H21" s="281">
        <f t="shared" si="11"/>
        <v>0</v>
      </c>
      <c r="I21" s="281">
        <f t="shared" si="11"/>
        <v>0</v>
      </c>
      <c r="J21" s="281">
        <f t="shared" si="11"/>
        <v>0</v>
      </c>
      <c r="K21" s="281">
        <f>+J21</f>
        <v>0</v>
      </c>
      <c r="L21" s="281">
        <v>0</v>
      </c>
      <c r="M21" s="281">
        <f t="shared" si="13"/>
        <v>0</v>
      </c>
      <c r="N21" s="281">
        <f t="shared" si="13"/>
        <v>0</v>
      </c>
      <c r="O21" s="499">
        <f>SUM(C21:N21)</f>
        <v>0</v>
      </c>
      <c r="P21" s="128" t="str">
        <f t="shared" si="10"/>
        <v>Trade Shows/Seminars/Demo</v>
      </c>
      <c r="Q21" s="127"/>
      <c r="R21" s="281">
        <f>+N21</f>
        <v>0</v>
      </c>
      <c r="S21" s="281">
        <f t="shared" si="12"/>
        <v>0</v>
      </c>
      <c r="T21" s="281">
        <f t="shared" si="12"/>
        <v>0</v>
      </c>
      <c r="U21" s="281">
        <f t="shared" si="12"/>
        <v>0</v>
      </c>
      <c r="V21" s="281">
        <f t="shared" si="12"/>
        <v>0</v>
      </c>
      <c r="W21" s="281">
        <f t="shared" si="12"/>
        <v>0</v>
      </c>
      <c r="X21" s="281">
        <f t="shared" si="12"/>
        <v>0</v>
      </c>
      <c r="Y21" s="281">
        <f t="shared" si="12"/>
        <v>0</v>
      </c>
      <c r="Z21" s="281">
        <f t="shared" si="12"/>
        <v>0</v>
      </c>
      <c r="AA21" s="281">
        <f t="shared" si="12"/>
        <v>0</v>
      </c>
      <c r="AB21" s="281">
        <f t="shared" si="12"/>
        <v>0</v>
      </c>
      <c r="AC21" s="281">
        <f t="shared" si="12"/>
        <v>0</v>
      </c>
      <c r="AD21" s="499">
        <f>SUM(R21:AC21)</f>
        <v>0</v>
      </c>
    </row>
    <row r="22" spans="1:30" s="30" customFormat="1" ht="18">
      <c r="A22" s="530" t="s">
        <v>153</v>
      </c>
      <c r="B22" s="282"/>
      <c r="C22" s="274">
        <v>0</v>
      </c>
      <c r="D22" s="274">
        <f t="shared" si="11"/>
        <v>0</v>
      </c>
      <c r="E22" s="274">
        <f t="shared" si="11"/>
        <v>0</v>
      </c>
      <c r="F22" s="274">
        <f t="shared" si="11"/>
        <v>0</v>
      </c>
      <c r="G22" s="274">
        <f t="shared" si="11"/>
        <v>0</v>
      </c>
      <c r="H22" s="274">
        <f t="shared" si="11"/>
        <v>0</v>
      </c>
      <c r="I22" s="274">
        <f>+H22</f>
        <v>0</v>
      </c>
      <c r="J22" s="274">
        <f t="shared" si="11"/>
        <v>0</v>
      </c>
      <c r="K22" s="274">
        <f t="shared" si="11"/>
        <v>0</v>
      </c>
      <c r="L22" s="274">
        <f>+K22</f>
        <v>0</v>
      </c>
      <c r="M22" s="274">
        <f t="shared" si="11"/>
        <v>0</v>
      </c>
      <c r="N22" s="274">
        <f t="shared" si="11"/>
        <v>0</v>
      </c>
      <c r="O22" s="500">
        <f>SUM(C22:N22)</f>
        <v>0</v>
      </c>
      <c r="P22" s="50" t="str">
        <f t="shared" si="10"/>
        <v>Travel &amp; Entertainment</v>
      </c>
      <c r="Q22" s="282"/>
      <c r="R22" s="274">
        <f>+N22</f>
        <v>0</v>
      </c>
      <c r="S22" s="274">
        <f t="shared" si="12"/>
        <v>0</v>
      </c>
      <c r="T22" s="274">
        <f t="shared" si="12"/>
        <v>0</v>
      </c>
      <c r="U22" s="274">
        <f t="shared" si="12"/>
        <v>0</v>
      </c>
      <c r="V22" s="274">
        <f t="shared" si="12"/>
        <v>0</v>
      </c>
      <c r="W22" s="274">
        <f t="shared" si="12"/>
        <v>0</v>
      </c>
      <c r="X22" s="274">
        <f t="shared" si="12"/>
        <v>0</v>
      </c>
      <c r="Y22" s="274">
        <f t="shared" si="12"/>
        <v>0</v>
      </c>
      <c r="Z22" s="274">
        <f t="shared" si="12"/>
        <v>0</v>
      </c>
      <c r="AA22" s="274">
        <f t="shared" si="12"/>
        <v>0</v>
      </c>
      <c r="AB22" s="274">
        <f t="shared" si="12"/>
        <v>0</v>
      </c>
      <c r="AC22" s="274">
        <f t="shared" si="12"/>
        <v>0</v>
      </c>
      <c r="AD22" s="500">
        <f>SUM(R22:AC22)</f>
        <v>0</v>
      </c>
    </row>
    <row r="23" spans="1:30" s="30" customFormat="1" ht="18">
      <c r="A23" s="61" t="s">
        <v>427</v>
      </c>
      <c r="B23" s="279"/>
      <c r="C23" s="276">
        <f aca="true" t="shared" si="14" ref="C23:N23">SUM(C19:C22)</f>
        <v>0</v>
      </c>
      <c r="D23" s="276">
        <f t="shared" si="14"/>
        <v>0</v>
      </c>
      <c r="E23" s="276">
        <f t="shared" si="14"/>
        <v>0</v>
      </c>
      <c r="F23" s="276">
        <f t="shared" si="14"/>
        <v>0</v>
      </c>
      <c r="G23" s="276">
        <f t="shared" si="14"/>
        <v>0</v>
      </c>
      <c r="H23" s="276">
        <f t="shared" si="14"/>
        <v>0</v>
      </c>
      <c r="I23" s="276">
        <f t="shared" si="14"/>
        <v>0</v>
      </c>
      <c r="J23" s="276">
        <f t="shared" si="14"/>
        <v>0</v>
      </c>
      <c r="K23" s="276">
        <f t="shared" si="14"/>
        <v>0</v>
      </c>
      <c r="L23" s="276">
        <f t="shared" si="14"/>
        <v>0</v>
      </c>
      <c r="M23" s="276">
        <f t="shared" si="14"/>
        <v>0</v>
      </c>
      <c r="N23" s="276">
        <f t="shared" si="14"/>
        <v>0</v>
      </c>
      <c r="O23" s="499">
        <f>SUM(C23:N23)</f>
        <v>0</v>
      </c>
      <c r="P23" s="61" t="str">
        <f t="shared" si="10"/>
        <v>Total Advertising/Promo</v>
      </c>
      <c r="Q23" s="279"/>
      <c r="R23" s="276">
        <f aca="true" t="shared" si="15" ref="R23:AC23">SUM(R19:R22)</f>
        <v>0</v>
      </c>
      <c r="S23" s="276">
        <f t="shared" si="15"/>
        <v>0</v>
      </c>
      <c r="T23" s="276">
        <f t="shared" si="15"/>
        <v>0</v>
      </c>
      <c r="U23" s="276">
        <f t="shared" si="15"/>
        <v>0</v>
      </c>
      <c r="V23" s="276">
        <f t="shared" si="15"/>
        <v>0</v>
      </c>
      <c r="W23" s="276">
        <f t="shared" si="15"/>
        <v>0</v>
      </c>
      <c r="X23" s="276">
        <f t="shared" si="15"/>
        <v>0</v>
      </c>
      <c r="Y23" s="276">
        <f t="shared" si="15"/>
        <v>0</v>
      </c>
      <c r="Z23" s="276">
        <f t="shared" si="15"/>
        <v>0</v>
      </c>
      <c r="AA23" s="276">
        <f t="shared" si="15"/>
        <v>0</v>
      </c>
      <c r="AB23" s="276">
        <f t="shared" si="15"/>
        <v>0</v>
      </c>
      <c r="AC23" s="276">
        <f t="shared" si="15"/>
        <v>0</v>
      </c>
      <c r="AD23" s="499">
        <f>SUM(R23:AC23)</f>
        <v>0</v>
      </c>
    </row>
    <row r="24" spans="1:30" s="30" customFormat="1" ht="18">
      <c r="A24" s="285"/>
      <c r="B24" s="279"/>
      <c r="C24" s="276"/>
      <c r="D24" s="276"/>
      <c r="E24" s="276"/>
      <c r="F24" s="276"/>
      <c r="G24" s="276"/>
      <c r="H24" s="276"/>
      <c r="I24" s="276"/>
      <c r="J24" s="276"/>
      <c r="K24" s="276"/>
      <c r="L24" s="276"/>
      <c r="M24" s="276"/>
      <c r="N24" s="276"/>
      <c r="O24" s="499"/>
      <c r="P24" s="286"/>
      <c r="Q24" s="279"/>
      <c r="R24" s="276"/>
      <c r="S24" s="276"/>
      <c r="T24" s="276"/>
      <c r="U24" s="276"/>
      <c r="V24" s="276"/>
      <c r="W24" s="276"/>
      <c r="X24" s="276"/>
      <c r="Y24" s="276"/>
      <c r="Z24" s="276"/>
      <c r="AA24" s="276"/>
      <c r="AB24" s="276"/>
      <c r="AC24" s="276"/>
      <c r="AD24" s="499"/>
    </row>
    <row r="25" spans="1:30" s="30" customFormat="1" ht="18">
      <c r="A25" s="280" t="s">
        <v>181</v>
      </c>
      <c r="B25" s="127"/>
      <c r="C25" s="276"/>
      <c r="D25" s="276"/>
      <c r="E25" s="276"/>
      <c r="F25" s="276"/>
      <c r="G25" s="276"/>
      <c r="H25" s="276"/>
      <c r="I25" s="276"/>
      <c r="J25" s="276"/>
      <c r="K25" s="276"/>
      <c r="L25" s="276"/>
      <c r="M25" s="276"/>
      <c r="N25" s="276"/>
      <c r="O25" s="499"/>
      <c r="P25" s="280" t="str">
        <f aca="true" t="shared" si="16" ref="P25:P34">+A25</f>
        <v>Facilities</v>
      </c>
      <c r="Q25" s="127"/>
      <c r="R25" s="276"/>
      <c r="S25" s="276"/>
      <c r="T25" s="276"/>
      <c r="U25" s="276"/>
      <c r="V25" s="276"/>
      <c r="W25" s="276"/>
      <c r="X25" s="276"/>
      <c r="Y25" s="276"/>
      <c r="Z25" s="276"/>
      <c r="AA25" s="276"/>
      <c r="AB25" s="276"/>
      <c r="AC25" s="276"/>
      <c r="AD25" s="499"/>
    </row>
    <row r="26" spans="1:30" s="30" customFormat="1" ht="18">
      <c r="A26" s="128" t="s">
        <v>145</v>
      </c>
      <c r="B26" s="279"/>
      <c r="C26" s="33">
        <f>+Financials!C313</f>
        <v>0</v>
      </c>
      <c r="D26" s="33">
        <f>+Financials!D313</f>
        <v>0</v>
      </c>
      <c r="E26" s="33">
        <f>+Financials!E313</f>
        <v>0</v>
      </c>
      <c r="F26" s="33">
        <f>+Financials!F313</f>
        <v>0</v>
      </c>
      <c r="G26" s="33">
        <f>+Financials!G313</f>
        <v>0</v>
      </c>
      <c r="H26" s="33">
        <f>+Financials!H313</f>
        <v>0</v>
      </c>
      <c r="I26" s="33">
        <f>+Financials!I313</f>
        <v>0</v>
      </c>
      <c r="J26" s="33">
        <f>+Financials!J313</f>
        <v>0</v>
      </c>
      <c r="K26" s="33">
        <f>+Financials!K313</f>
        <v>0</v>
      </c>
      <c r="L26" s="33">
        <f>+Financials!L313</f>
        <v>0</v>
      </c>
      <c r="M26" s="33">
        <f>+Financials!M313</f>
        <v>0</v>
      </c>
      <c r="N26" s="33">
        <f>+Financials!N313</f>
        <v>0</v>
      </c>
      <c r="O26" s="499">
        <f aca="true" t="shared" si="17" ref="O26:O34">SUM(C26:N26)</f>
        <v>0</v>
      </c>
      <c r="P26" s="128" t="str">
        <f t="shared" si="16"/>
        <v>Equipment Leases</v>
      </c>
      <c r="Q26" s="279"/>
      <c r="R26" s="33">
        <f>+Financials!R313</f>
        <v>0</v>
      </c>
      <c r="S26" s="33">
        <f>+Financials!S313</f>
        <v>0</v>
      </c>
      <c r="T26" s="33">
        <f>+Financials!T313</f>
        <v>0</v>
      </c>
      <c r="U26" s="33">
        <f>+Financials!U313</f>
        <v>0</v>
      </c>
      <c r="V26" s="33">
        <f>+Financials!V313</f>
        <v>0</v>
      </c>
      <c r="W26" s="33">
        <f>+Financials!W313</f>
        <v>0</v>
      </c>
      <c r="X26" s="33">
        <f>+Financials!X313</f>
        <v>0</v>
      </c>
      <c r="Y26" s="33">
        <f>+Financials!Y313</f>
        <v>0</v>
      </c>
      <c r="Z26" s="33">
        <f>+Financials!Z313</f>
        <v>0</v>
      </c>
      <c r="AA26" s="33">
        <f>+Financials!AA313</f>
        <v>0</v>
      </c>
      <c r="AB26" s="33">
        <f>+Financials!AB313</f>
        <v>0</v>
      </c>
      <c r="AC26" s="33">
        <f>+Financials!AC313</f>
        <v>0</v>
      </c>
      <c r="AD26" s="499">
        <f aca="true" t="shared" si="18" ref="AD26:AD34">SUM(R26:AC26)</f>
        <v>0</v>
      </c>
    </row>
    <row r="27" spans="1:30" s="30" customFormat="1" ht="18">
      <c r="A27" s="528" t="s">
        <v>423</v>
      </c>
      <c r="B27" s="279"/>
      <c r="C27" s="436">
        <v>0</v>
      </c>
      <c r="D27" s="436">
        <f aca="true" t="shared" si="19" ref="D27:N33">+C27</f>
        <v>0</v>
      </c>
      <c r="E27" s="436">
        <f t="shared" si="19"/>
        <v>0</v>
      </c>
      <c r="F27" s="436">
        <f t="shared" si="19"/>
        <v>0</v>
      </c>
      <c r="G27" s="436">
        <f t="shared" si="19"/>
        <v>0</v>
      </c>
      <c r="H27" s="436">
        <f t="shared" si="19"/>
        <v>0</v>
      </c>
      <c r="I27" s="436">
        <f t="shared" si="19"/>
        <v>0</v>
      </c>
      <c r="J27" s="436">
        <f t="shared" si="19"/>
        <v>0</v>
      </c>
      <c r="K27" s="436">
        <f t="shared" si="19"/>
        <v>0</v>
      </c>
      <c r="L27" s="436">
        <f t="shared" si="19"/>
        <v>0</v>
      </c>
      <c r="M27" s="436">
        <f t="shared" si="19"/>
        <v>0</v>
      </c>
      <c r="N27" s="436">
        <f t="shared" si="19"/>
        <v>0</v>
      </c>
      <c r="O27" s="499">
        <f t="shared" si="17"/>
        <v>0</v>
      </c>
      <c r="P27" s="128" t="str">
        <f t="shared" si="16"/>
        <v>Insurance - Liab/Prop</v>
      </c>
      <c r="Q27" s="279"/>
      <c r="R27" s="281">
        <f aca="true" t="shared" si="20" ref="R27:R32">+N27</f>
        <v>0</v>
      </c>
      <c r="S27" s="281">
        <f aca="true" t="shared" si="21" ref="S27:AC33">+R27</f>
        <v>0</v>
      </c>
      <c r="T27" s="281">
        <f t="shared" si="21"/>
        <v>0</v>
      </c>
      <c r="U27" s="281">
        <f t="shared" si="21"/>
        <v>0</v>
      </c>
      <c r="V27" s="281">
        <f t="shared" si="21"/>
        <v>0</v>
      </c>
      <c r="W27" s="281">
        <f t="shared" si="21"/>
        <v>0</v>
      </c>
      <c r="X27" s="281">
        <f t="shared" si="21"/>
        <v>0</v>
      </c>
      <c r="Y27" s="281">
        <f t="shared" si="21"/>
        <v>0</v>
      </c>
      <c r="Z27" s="281">
        <f t="shared" si="21"/>
        <v>0</v>
      </c>
      <c r="AA27" s="281">
        <f t="shared" si="21"/>
        <v>0</v>
      </c>
      <c r="AB27" s="281">
        <f t="shared" si="21"/>
        <v>0</v>
      </c>
      <c r="AC27" s="281">
        <f t="shared" si="21"/>
        <v>0</v>
      </c>
      <c r="AD27" s="499">
        <f t="shared" si="18"/>
        <v>0</v>
      </c>
    </row>
    <row r="28" spans="1:30" s="30" customFormat="1" ht="18">
      <c r="A28" s="528" t="s">
        <v>396</v>
      </c>
      <c r="B28" s="279"/>
      <c r="C28" s="436">
        <v>0</v>
      </c>
      <c r="D28" s="436">
        <f t="shared" si="19"/>
        <v>0</v>
      </c>
      <c r="E28" s="436">
        <f t="shared" si="19"/>
        <v>0</v>
      </c>
      <c r="F28" s="436">
        <f t="shared" si="19"/>
        <v>0</v>
      </c>
      <c r="G28" s="436">
        <f t="shared" si="19"/>
        <v>0</v>
      </c>
      <c r="H28" s="436">
        <f t="shared" si="19"/>
        <v>0</v>
      </c>
      <c r="I28" s="436">
        <f t="shared" si="19"/>
        <v>0</v>
      </c>
      <c r="J28" s="436">
        <f t="shared" si="19"/>
        <v>0</v>
      </c>
      <c r="K28" s="436">
        <f t="shared" si="19"/>
        <v>0</v>
      </c>
      <c r="L28" s="436">
        <f t="shared" si="19"/>
        <v>0</v>
      </c>
      <c r="M28" s="436">
        <f t="shared" si="19"/>
        <v>0</v>
      </c>
      <c r="N28" s="436">
        <f t="shared" si="19"/>
        <v>0</v>
      </c>
      <c r="O28" s="499">
        <f t="shared" si="17"/>
        <v>0</v>
      </c>
      <c r="P28" s="128" t="str">
        <f t="shared" si="16"/>
        <v>Building Repairs</v>
      </c>
      <c r="Q28" s="279"/>
      <c r="R28" s="281">
        <f t="shared" si="20"/>
        <v>0</v>
      </c>
      <c r="S28" s="281">
        <f t="shared" si="21"/>
        <v>0</v>
      </c>
      <c r="T28" s="281">
        <f t="shared" si="21"/>
        <v>0</v>
      </c>
      <c r="U28" s="281">
        <f t="shared" si="21"/>
        <v>0</v>
      </c>
      <c r="V28" s="281">
        <f t="shared" si="21"/>
        <v>0</v>
      </c>
      <c r="W28" s="281">
        <f t="shared" si="21"/>
        <v>0</v>
      </c>
      <c r="X28" s="281">
        <f t="shared" si="21"/>
        <v>0</v>
      </c>
      <c r="Y28" s="281">
        <f t="shared" si="21"/>
        <v>0</v>
      </c>
      <c r="Z28" s="281">
        <f t="shared" si="21"/>
        <v>0</v>
      </c>
      <c r="AA28" s="281">
        <f t="shared" si="21"/>
        <v>0</v>
      </c>
      <c r="AB28" s="281">
        <f t="shared" si="21"/>
        <v>0</v>
      </c>
      <c r="AC28" s="281">
        <f t="shared" si="21"/>
        <v>0</v>
      </c>
      <c r="AD28" s="499">
        <f t="shared" si="18"/>
        <v>0</v>
      </c>
    </row>
    <row r="29" spans="1:30" s="30" customFormat="1" ht="18">
      <c r="A29" s="528" t="s">
        <v>174</v>
      </c>
      <c r="B29" s="279"/>
      <c r="C29" s="436">
        <v>0</v>
      </c>
      <c r="D29" s="436">
        <f>+C29</f>
        <v>0</v>
      </c>
      <c r="E29" s="436">
        <f t="shared" si="19"/>
        <v>0</v>
      </c>
      <c r="F29" s="436">
        <f t="shared" si="19"/>
        <v>0</v>
      </c>
      <c r="G29" s="436">
        <f t="shared" si="19"/>
        <v>0</v>
      </c>
      <c r="H29" s="436">
        <f t="shared" si="19"/>
        <v>0</v>
      </c>
      <c r="I29" s="436">
        <f t="shared" si="19"/>
        <v>0</v>
      </c>
      <c r="J29" s="436">
        <f t="shared" si="19"/>
        <v>0</v>
      </c>
      <c r="K29" s="436">
        <f t="shared" si="19"/>
        <v>0</v>
      </c>
      <c r="L29" s="436">
        <f t="shared" si="19"/>
        <v>0</v>
      </c>
      <c r="M29" s="436">
        <f t="shared" si="19"/>
        <v>0</v>
      </c>
      <c r="N29" s="436">
        <f t="shared" si="19"/>
        <v>0</v>
      </c>
      <c r="O29" s="499">
        <f t="shared" si="17"/>
        <v>0</v>
      </c>
      <c r="P29" s="128" t="str">
        <f t="shared" si="16"/>
        <v>Network Mgmt/ISP</v>
      </c>
      <c r="Q29" s="279"/>
      <c r="R29" s="281">
        <f t="shared" si="20"/>
        <v>0</v>
      </c>
      <c r="S29" s="281">
        <f t="shared" si="21"/>
        <v>0</v>
      </c>
      <c r="T29" s="281">
        <f t="shared" si="21"/>
        <v>0</v>
      </c>
      <c r="U29" s="281">
        <f t="shared" si="21"/>
        <v>0</v>
      </c>
      <c r="V29" s="281">
        <f t="shared" si="21"/>
        <v>0</v>
      </c>
      <c r="W29" s="281">
        <f t="shared" si="21"/>
        <v>0</v>
      </c>
      <c r="X29" s="281">
        <f t="shared" si="21"/>
        <v>0</v>
      </c>
      <c r="Y29" s="281">
        <f t="shared" si="21"/>
        <v>0</v>
      </c>
      <c r="Z29" s="281">
        <f t="shared" si="21"/>
        <v>0</v>
      </c>
      <c r="AA29" s="281">
        <f t="shared" si="21"/>
        <v>0</v>
      </c>
      <c r="AB29" s="281">
        <f t="shared" si="21"/>
        <v>0</v>
      </c>
      <c r="AC29" s="281">
        <f t="shared" si="21"/>
        <v>0</v>
      </c>
      <c r="AD29" s="499">
        <f t="shared" si="18"/>
        <v>0</v>
      </c>
    </row>
    <row r="30" spans="1:30" s="30" customFormat="1" ht="18">
      <c r="A30" s="528" t="s">
        <v>154</v>
      </c>
      <c r="B30" s="279"/>
      <c r="C30" s="436">
        <v>0</v>
      </c>
      <c r="D30" s="436">
        <f>+C30</f>
        <v>0</v>
      </c>
      <c r="E30" s="436">
        <f>+D30</f>
        <v>0</v>
      </c>
      <c r="F30" s="436">
        <f t="shared" si="19"/>
        <v>0</v>
      </c>
      <c r="G30" s="436">
        <f t="shared" si="19"/>
        <v>0</v>
      </c>
      <c r="H30" s="436">
        <f t="shared" si="19"/>
        <v>0</v>
      </c>
      <c r="I30" s="436">
        <f t="shared" si="19"/>
        <v>0</v>
      </c>
      <c r="J30" s="436">
        <f t="shared" si="19"/>
        <v>0</v>
      </c>
      <c r="K30" s="436">
        <f t="shared" si="19"/>
        <v>0</v>
      </c>
      <c r="L30" s="436">
        <f t="shared" si="19"/>
        <v>0</v>
      </c>
      <c r="M30" s="436">
        <f t="shared" si="19"/>
        <v>0</v>
      </c>
      <c r="N30" s="436">
        <f t="shared" si="19"/>
        <v>0</v>
      </c>
      <c r="O30" s="499">
        <f t="shared" si="17"/>
        <v>0</v>
      </c>
      <c r="P30" s="128" t="str">
        <f t="shared" si="16"/>
        <v>Non-Capitalized Equipment</v>
      </c>
      <c r="Q30" s="127"/>
      <c r="R30" s="281">
        <f t="shared" si="20"/>
        <v>0</v>
      </c>
      <c r="S30" s="281">
        <f>+R30</f>
        <v>0</v>
      </c>
      <c r="T30" s="281">
        <f t="shared" si="21"/>
        <v>0</v>
      </c>
      <c r="U30" s="281">
        <f t="shared" si="21"/>
        <v>0</v>
      </c>
      <c r="V30" s="281">
        <f>+U30</f>
        <v>0</v>
      </c>
      <c r="W30" s="281">
        <f t="shared" si="21"/>
        <v>0</v>
      </c>
      <c r="X30" s="281">
        <f t="shared" si="21"/>
        <v>0</v>
      </c>
      <c r="Y30" s="281">
        <f t="shared" si="21"/>
        <v>0</v>
      </c>
      <c r="Z30" s="281">
        <f t="shared" si="21"/>
        <v>0</v>
      </c>
      <c r="AA30" s="281">
        <f t="shared" si="21"/>
        <v>0</v>
      </c>
      <c r="AB30" s="281">
        <f t="shared" si="21"/>
        <v>0</v>
      </c>
      <c r="AC30" s="281">
        <f t="shared" si="21"/>
        <v>0</v>
      </c>
      <c r="AD30" s="499">
        <f t="shared" si="18"/>
        <v>0</v>
      </c>
    </row>
    <row r="31" spans="1:30" s="30" customFormat="1" ht="18">
      <c r="A31" s="528" t="s">
        <v>149</v>
      </c>
      <c r="B31" s="279"/>
      <c r="C31" s="436">
        <v>0</v>
      </c>
      <c r="D31" s="436">
        <f>+C31</f>
        <v>0</v>
      </c>
      <c r="E31" s="436">
        <f t="shared" si="19"/>
        <v>0</v>
      </c>
      <c r="F31" s="436">
        <f t="shared" si="19"/>
        <v>0</v>
      </c>
      <c r="G31" s="436">
        <f t="shared" si="19"/>
        <v>0</v>
      </c>
      <c r="H31" s="436">
        <f t="shared" si="19"/>
        <v>0</v>
      </c>
      <c r="I31" s="436">
        <f t="shared" si="19"/>
        <v>0</v>
      </c>
      <c r="J31" s="436">
        <f t="shared" si="19"/>
        <v>0</v>
      </c>
      <c r="K31" s="436">
        <f t="shared" si="19"/>
        <v>0</v>
      </c>
      <c r="L31" s="436">
        <f t="shared" si="19"/>
        <v>0</v>
      </c>
      <c r="M31" s="436">
        <f>+L31</f>
        <v>0</v>
      </c>
      <c r="N31" s="436">
        <f t="shared" si="19"/>
        <v>0</v>
      </c>
      <c r="O31" s="499">
        <f t="shared" si="17"/>
        <v>0</v>
      </c>
      <c r="P31" s="128" t="str">
        <f t="shared" si="16"/>
        <v>Rent</v>
      </c>
      <c r="Q31" s="279"/>
      <c r="R31" s="281">
        <f t="shared" si="20"/>
        <v>0</v>
      </c>
      <c r="S31" s="281">
        <f>+R31</f>
        <v>0</v>
      </c>
      <c r="T31" s="281">
        <f t="shared" si="21"/>
        <v>0</v>
      </c>
      <c r="U31" s="281">
        <f t="shared" si="21"/>
        <v>0</v>
      </c>
      <c r="V31" s="281">
        <f t="shared" si="21"/>
        <v>0</v>
      </c>
      <c r="W31" s="281">
        <f t="shared" si="21"/>
        <v>0</v>
      </c>
      <c r="X31" s="281">
        <f t="shared" si="21"/>
        <v>0</v>
      </c>
      <c r="Y31" s="281">
        <f t="shared" si="21"/>
        <v>0</v>
      </c>
      <c r="Z31" s="281">
        <f t="shared" si="21"/>
        <v>0</v>
      </c>
      <c r="AA31" s="281">
        <f t="shared" si="21"/>
        <v>0</v>
      </c>
      <c r="AB31" s="281">
        <f t="shared" si="21"/>
        <v>0</v>
      </c>
      <c r="AC31" s="281">
        <f t="shared" si="21"/>
        <v>0</v>
      </c>
      <c r="AD31" s="499">
        <f t="shared" si="18"/>
        <v>0</v>
      </c>
    </row>
    <row r="32" spans="1:30" s="30" customFormat="1" ht="18">
      <c r="A32" s="528" t="s">
        <v>151</v>
      </c>
      <c r="B32" s="279"/>
      <c r="C32" s="436">
        <v>0</v>
      </c>
      <c r="D32" s="436">
        <f t="shared" si="19"/>
        <v>0</v>
      </c>
      <c r="E32" s="436">
        <f t="shared" si="19"/>
        <v>0</v>
      </c>
      <c r="F32" s="436">
        <f t="shared" si="19"/>
        <v>0</v>
      </c>
      <c r="G32" s="436">
        <f t="shared" si="19"/>
        <v>0</v>
      </c>
      <c r="H32" s="436">
        <f t="shared" si="19"/>
        <v>0</v>
      </c>
      <c r="I32" s="436">
        <f t="shared" si="19"/>
        <v>0</v>
      </c>
      <c r="J32" s="436">
        <f t="shared" si="19"/>
        <v>0</v>
      </c>
      <c r="K32" s="436">
        <f t="shared" si="19"/>
        <v>0</v>
      </c>
      <c r="L32" s="436">
        <f t="shared" si="19"/>
        <v>0</v>
      </c>
      <c r="M32" s="436">
        <f t="shared" si="19"/>
        <v>0</v>
      </c>
      <c r="N32" s="436">
        <f t="shared" si="19"/>
        <v>0</v>
      </c>
      <c r="O32" s="499">
        <f t="shared" si="17"/>
        <v>0</v>
      </c>
      <c r="P32" s="128" t="str">
        <f t="shared" si="16"/>
        <v>Telecommunications</v>
      </c>
      <c r="Q32" s="279"/>
      <c r="R32" s="281">
        <f t="shared" si="20"/>
        <v>0</v>
      </c>
      <c r="S32" s="281">
        <f t="shared" si="21"/>
        <v>0</v>
      </c>
      <c r="T32" s="281">
        <f t="shared" si="21"/>
        <v>0</v>
      </c>
      <c r="U32" s="281">
        <f t="shared" si="21"/>
        <v>0</v>
      </c>
      <c r="V32" s="281">
        <f t="shared" si="21"/>
        <v>0</v>
      </c>
      <c r="W32" s="281">
        <f t="shared" si="21"/>
        <v>0</v>
      </c>
      <c r="X32" s="281">
        <f t="shared" si="21"/>
        <v>0</v>
      </c>
      <c r="Y32" s="281">
        <f t="shared" si="21"/>
        <v>0</v>
      </c>
      <c r="Z32" s="281">
        <f t="shared" si="21"/>
        <v>0</v>
      </c>
      <c r="AA32" s="281">
        <f t="shared" si="21"/>
        <v>0</v>
      </c>
      <c r="AB32" s="281">
        <f t="shared" si="21"/>
        <v>0</v>
      </c>
      <c r="AC32" s="281">
        <f t="shared" si="21"/>
        <v>0</v>
      </c>
      <c r="AD32" s="499">
        <f t="shared" si="18"/>
        <v>0</v>
      </c>
    </row>
    <row r="33" spans="1:30" s="30" customFormat="1" ht="18">
      <c r="A33" s="530" t="s">
        <v>5</v>
      </c>
      <c r="B33" s="126"/>
      <c r="C33" s="439">
        <v>0</v>
      </c>
      <c r="D33" s="439">
        <f t="shared" si="19"/>
        <v>0</v>
      </c>
      <c r="E33" s="439">
        <f t="shared" si="19"/>
        <v>0</v>
      </c>
      <c r="F33" s="439">
        <f t="shared" si="19"/>
        <v>0</v>
      </c>
      <c r="G33" s="439">
        <f t="shared" si="19"/>
        <v>0</v>
      </c>
      <c r="H33" s="439">
        <f t="shared" si="19"/>
        <v>0</v>
      </c>
      <c r="I33" s="439">
        <f t="shared" si="19"/>
        <v>0</v>
      </c>
      <c r="J33" s="439">
        <f t="shared" si="19"/>
        <v>0</v>
      </c>
      <c r="K33" s="439">
        <f t="shared" si="19"/>
        <v>0</v>
      </c>
      <c r="L33" s="439">
        <f t="shared" si="19"/>
        <v>0</v>
      </c>
      <c r="M33" s="439">
        <f t="shared" si="19"/>
        <v>0</v>
      </c>
      <c r="N33" s="439">
        <f t="shared" si="19"/>
        <v>0</v>
      </c>
      <c r="O33" s="500">
        <f t="shared" si="17"/>
        <v>0</v>
      </c>
      <c r="P33" s="50" t="str">
        <f t="shared" si="16"/>
        <v>Utilities</v>
      </c>
      <c r="Q33" s="278"/>
      <c r="R33" s="274">
        <f>N33</f>
        <v>0</v>
      </c>
      <c r="S33" s="274">
        <f t="shared" si="21"/>
        <v>0</v>
      </c>
      <c r="T33" s="274">
        <f t="shared" si="21"/>
        <v>0</v>
      </c>
      <c r="U33" s="274">
        <f t="shared" si="21"/>
        <v>0</v>
      </c>
      <c r="V33" s="274">
        <f t="shared" si="21"/>
        <v>0</v>
      </c>
      <c r="W33" s="274">
        <f t="shared" si="21"/>
        <v>0</v>
      </c>
      <c r="X33" s="274">
        <f t="shared" si="21"/>
        <v>0</v>
      </c>
      <c r="Y33" s="274">
        <f t="shared" si="21"/>
        <v>0</v>
      </c>
      <c r="Z33" s="274">
        <f t="shared" si="21"/>
        <v>0</v>
      </c>
      <c r="AA33" s="274">
        <f t="shared" si="21"/>
        <v>0</v>
      </c>
      <c r="AB33" s="274">
        <f t="shared" si="21"/>
        <v>0</v>
      </c>
      <c r="AC33" s="274">
        <f t="shared" si="21"/>
        <v>0</v>
      </c>
      <c r="AD33" s="500">
        <f t="shared" si="18"/>
        <v>0</v>
      </c>
    </row>
    <row r="34" spans="1:30" s="30" customFormat="1" ht="18">
      <c r="A34" s="61" t="s">
        <v>428</v>
      </c>
      <c r="B34" s="279"/>
      <c r="C34" s="276">
        <f aca="true" t="shared" si="22" ref="C34:N34">SUM(C26:C33)</f>
        <v>0</v>
      </c>
      <c r="D34" s="276">
        <f t="shared" si="22"/>
        <v>0</v>
      </c>
      <c r="E34" s="276">
        <f t="shared" si="22"/>
        <v>0</v>
      </c>
      <c r="F34" s="276">
        <f t="shared" si="22"/>
        <v>0</v>
      </c>
      <c r="G34" s="276">
        <f t="shared" si="22"/>
        <v>0</v>
      </c>
      <c r="H34" s="276">
        <f t="shared" si="22"/>
        <v>0</v>
      </c>
      <c r="I34" s="276">
        <f t="shared" si="22"/>
        <v>0</v>
      </c>
      <c r="J34" s="276">
        <f t="shared" si="22"/>
        <v>0</v>
      </c>
      <c r="K34" s="276">
        <f t="shared" si="22"/>
        <v>0</v>
      </c>
      <c r="L34" s="276">
        <f t="shared" si="22"/>
        <v>0</v>
      </c>
      <c r="M34" s="276">
        <f t="shared" si="22"/>
        <v>0</v>
      </c>
      <c r="N34" s="276">
        <f t="shared" si="22"/>
        <v>0</v>
      </c>
      <c r="O34" s="499">
        <f t="shared" si="17"/>
        <v>0</v>
      </c>
      <c r="P34" s="61" t="str">
        <f t="shared" si="16"/>
        <v>Total Facilities</v>
      </c>
      <c r="Q34" s="279"/>
      <c r="R34" s="276">
        <f aca="true" t="shared" si="23" ref="R34:AC34">SUM(R26:R33)</f>
        <v>0</v>
      </c>
      <c r="S34" s="276">
        <f t="shared" si="23"/>
        <v>0</v>
      </c>
      <c r="T34" s="276">
        <f t="shared" si="23"/>
        <v>0</v>
      </c>
      <c r="U34" s="276">
        <f t="shared" si="23"/>
        <v>0</v>
      </c>
      <c r="V34" s="276">
        <f t="shared" si="23"/>
        <v>0</v>
      </c>
      <c r="W34" s="276">
        <f t="shared" si="23"/>
        <v>0</v>
      </c>
      <c r="X34" s="276">
        <f t="shared" si="23"/>
        <v>0</v>
      </c>
      <c r="Y34" s="276">
        <f t="shared" si="23"/>
        <v>0</v>
      </c>
      <c r="Z34" s="276">
        <f t="shared" si="23"/>
        <v>0</v>
      </c>
      <c r="AA34" s="276">
        <f t="shared" si="23"/>
        <v>0</v>
      </c>
      <c r="AB34" s="276">
        <f t="shared" si="23"/>
        <v>0</v>
      </c>
      <c r="AC34" s="276">
        <f t="shared" si="23"/>
        <v>0</v>
      </c>
      <c r="AD34" s="499">
        <f t="shared" si="18"/>
        <v>0</v>
      </c>
    </row>
    <row r="35" spans="1:30" s="18" customFormat="1" ht="18">
      <c r="A35" s="48"/>
      <c r="B35" s="265"/>
      <c r="C35" s="264"/>
      <c r="D35" s="264"/>
      <c r="E35" s="264"/>
      <c r="F35" s="264"/>
      <c r="G35" s="264"/>
      <c r="H35" s="264"/>
      <c r="I35" s="264"/>
      <c r="J35" s="264"/>
      <c r="K35" s="264"/>
      <c r="L35" s="264"/>
      <c r="M35" s="264"/>
      <c r="N35" s="264"/>
      <c r="O35" s="499"/>
      <c r="P35" s="24"/>
      <c r="Q35" s="265"/>
      <c r="R35" s="264"/>
      <c r="S35" s="264"/>
      <c r="T35" s="264"/>
      <c r="U35" s="264"/>
      <c r="V35" s="264"/>
      <c r="W35" s="264"/>
      <c r="X35" s="264"/>
      <c r="Y35" s="264"/>
      <c r="Z35" s="264"/>
      <c r="AA35" s="264"/>
      <c r="AB35" s="264"/>
      <c r="AC35" s="264"/>
      <c r="AD35" s="499"/>
    </row>
    <row r="36" spans="1:30" s="30" customFormat="1" ht="18">
      <c r="A36" s="165" t="s">
        <v>182</v>
      </c>
      <c r="B36" s="279"/>
      <c r="C36" s="276"/>
      <c r="D36" s="276"/>
      <c r="E36" s="276"/>
      <c r="F36" s="276"/>
      <c r="G36" s="276"/>
      <c r="H36" s="276"/>
      <c r="I36" s="276"/>
      <c r="J36" s="276"/>
      <c r="K36" s="276"/>
      <c r="L36" s="276"/>
      <c r="M36" s="276"/>
      <c r="N36" s="276"/>
      <c r="O36" s="499"/>
      <c r="P36" s="280" t="str">
        <f aca="true" t="shared" si="24" ref="P36:P47">+A36</f>
        <v>Administrative</v>
      </c>
      <c r="Q36" s="279"/>
      <c r="R36" s="276"/>
      <c r="S36" s="276"/>
      <c r="T36" s="276"/>
      <c r="U36" s="276"/>
      <c r="V36" s="276"/>
      <c r="W36" s="276"/>
      <c r="X36" s="276"/>
      <c r="Y36" s="276"/>
      <c r="Z36" s="276"/>
      <c r="AA36" s="276"/>
      <c r="AB36" s="276"/>
      <c r="AC36" s="276"/>
      <c r="AD36" s="499"/>
    </row>
    <row r="37" spans="1:30" s="30" customFormat="1" ht="18">
      <c r="A37" s="528" t="s">
        <v>142</v>
      </c>
      <c r="B37" s="127"/>
      <c r="C37" s="281">
        <v>0</v>
      </c>
      <c r="D37" s="281">
        <f aca="true" t="shared" si="25" ref="D37:N45">+C37</f>
        <v>0</v>
      </c>
      <c r="E37" s="281">
        <f t="shared" si="25"/>
        <v>0</v>
      </c>
      <c r="F37" s="281">
        <f t="shared" si="25"/>
        <v>0</v>
      </c>
      <c r="G37" s="281">
        <f t="shared" si="25"/>
        <v>0</v>
      </c>
      <c r="H37" s="281">
        <f t="shared" si="25"/>
        <v>0</v>
      </c>
      <c r="I37" s="281">
        <f t="shared" si="25"/>
        <v>0</v>
      </c>
      <c r="J37" s="281">
        <f t="shared" si="25"/>
        <v>0</v>
      </c>
      <c r="K37" s="281">
        <f t="shared" si="25"/>
        <v>0</v>
      </c>
      <c r="L37" s="281">
        <f t="shared" si="25"/>
        <v>0</v>
      </c>
      <c r="M37" s="281">
        <f t="shared" si="25"/>
        <v>0</v>
      </c>
      <c r="N37" s="281">
        <f t="shared" si="25"/>
        <v>0</v>
      </c>
      <c r="O37" s="499">
        <f aca="true" t="shared" si="26" ref="O37:O47">SUM(C37:N37)</f>
        <v>0</v>
      </c>
      <c r="P37" s="128" t="str">
        <f t="shared" si="24"/>
        <v>Accounting</v>
      </c>
      <c r="Q37" s="127"/>
      <c r="R37" s="281">
        <f>+N37</f>
        <v>0</v>
      </c>
      <c r="S37" s="281">
        <f aca="true" t="shared" si="27" ref="S37:AC45">+R37</f>
        <v>0</v>
      </c>
      <c r="T37" s="281">
        <f>+S37</f>
        <v>0</v>
      </c>
      <c r="U37" s="281">
        <f t="shared" si="27"/>
        <v>0</v>
      </c>
      <c r="V37" s="281">
        <f t="shared" si="27"/>
        <v>0</v>
      </c>
      <c r="W37" s="281">
        <f t="shared" si="27"/>
        <v>0</v>
      </c>
      <c r="X37" s="281">
        <f t="shared" si="27"/>
        <v>0</v>
      </c>
      <c r="Y37" s="281">
        <f t="shared" si="27"/>
        <v>0</v>
      </c>
      <c r="Z37" s="281">
        <f t="shared" si="27"/>
        <v>0</v>
      </c>
      <c r="AA37" s="281">
        <f t="shared" si="27"/>
        <v>0</v>
      </c>
      <c r="AB37" s="281">
        <f t="shared" si="27"/>
        <v>0</v>
      </c>
      <c r="AC37" s="281">
        <f t="shared" si="27"/>
        <v>0</v>
      </c>
      <c r="AD37" s="499">
        <f aca="true" t="shared" si="28" ref="AD37:AD47">SUM(R37:AC37)</f>
        <v>0</v>
      </c>
    </row>
    <row r="38" spans="1:30" s="30" customFormat="1" ht="18">
      <c r="A38" s="528" t="s">
        <v>398</v>
      </c>
      <c r="B38" s="127"/>
      <c r="C38" s="281">
        <v>0</v>
      </c>
      <c r="D38" s="281">
        <f t="shared" si="25"/>
        <v>0</v>
      </c>
      <c r="E38" s="281">
        <f t="shared" si="25"/>
        <v>0</v>
      </c>
      <c r="F38" s="281">
        <f t="shared" si="25"/>
        <v>0</v>
      </c>
      <c r="G38" s="281">
        <f t="shared" si="25"/>
        <v>0</v>
      </c>
      <c r="H38" s="281">
        <f t="shared" si="25"/>
        <v>0</v>
      </c>
      <c r="I38" s="281">
        <f t="shared" si="25"/>
        <v>0</v>
      </c>
      <c r="J38" s="281">
        <f t="shared" si="25"/>
        <v>0</v>
      </c>
      <c r="K38" s="281">
        <f t="shared" si="25"/>
        <v>0</v>
      </c>
      <c r="L38" s="281">
        <f t="shared" si="25"/>
        <v>0</v>
      </c>
      <c r="M38" s="281">
        <f t="shared" si="25"/>
        <v>0</v>
      </c>
      <c r="N38" s="281">
        <f t="shared" si="25"/>
        <v>0</v>
      </c>
      <c r="O38" s="499">
        <f t="shared" si="26"/>
        <v>0</v>
      </c>
      <c r="P38" s="128" t="str">
        <f t="shared" si="24"/>
        <v>Bank Service Fees</v>
      </c>
      <c r="Q38" s="127"/>
      <c r="R38" s="281">
        <f>N38</f>
        <v>0</v>
      </c>
      <c r="S38" s="281">
        <f t="shared" si="27"/>
        <v>0</v>
      </c>
      <c r="T38" s="281">
        <f aca="true" t="shared" si="29" ref="T38:AC39">S38</f>
        <v>0</v>
      </c>
      <c r="U38" s="281">
        <f t="shared" si="29"/>
        <v>0</v>
      </c>
      <c r="V38" s="281">
        <f t="shared" si="29"/>
        <v>0</v>
      </c>
      <c r="W38" s="281">
        <f t="shared" si="29"/>
        <v>0</v>
      </c>
      <c r="X38" s="281">
        <f t="shared" si="29"/>
        <v>0</v>
      </c>
      <c r="Y38" s="281">
        <f t="shared" si="29"/>
        <v>0</v>
      </c>
      <c r="Z38" s="281">
        <f t="shared" si="29"/>
        <v>0</v>
      </c>
      <c r="AA38" s="281">
        <f t="shared" si="29"/>
        <v>0</v>
      </c>
      <c r="AB38" s="281">
        <f t="shared" si="29"/>
        <v>0</v>
      </c>
      <c r="AC38" s="281">
        <f t="shared" si="29"/>
        <v>0</v>
      </c>
      <c r="AD38" s="499">
        <f t="shared" si="28"/>
        <v>0</v>
      </c>
    </row>
    <row r="39" spans="1:30" s="30" customFormat="1" ht="18">
      <c r="A39" s="528" t="s">
        <v>401</v>
      </c>
      <c r="B39" s="127"/>
      <c r="C39" s="281">
        <v>0</v>
      </c>
      <c r="D39" s="281">
        <f t="shared" si="25"/>
        <v>0</v>
      </c>
      <c r="E39" s="281">
        <f t="shared" si="25"/>
        <v>0</v>
      </c>
      <c r="F39" s="281">
        <f t="shared" si="25"/>
        <v>0</v>
      </c>
      <c r="G39" s="281">
        <f t="shared" si="25"/>
        <v>0</v>
      </c>
      <c r="H39" s="281">
        <f t="shared" si="25"/>
        <v>0</v>
      </c>
      <c r="I39" s="281">
        <f t="shared" si="25"/>
        <v>0</v>
      </c>
      <c r="J39" s="281">
        <f t="shared" si="25"/>
        <v>0</v>
      </c>
      <c r="K39" s="281">
        <f t="shared" si="25"/>
        <v>0</v>
      </c>
      <c r="L39" s="281">
        <f t="shared" si="25"/>
        <v>0</v>
      </c>
      <c r="M39" s="281">
        <f t="shared" si="25"/>
        <v>0</v>
      </c>
      <c r="N39" s="281">
        <f t="shared" si="25"/>
        <v>0</v>
      </c>
      <c r="O39" s="499">
        <f t="shared" si="26"/>
        <v>0</v>
      </c>
      <c r="P39" s="128" t="str">
        <f t="shared" si="24"/>
        <v>Contributions</v>
      </c>
      <c r="Q39" s="127"/>
      <c r="R39" s="281">
        <f>N39</f>
        <v>0</v>
      </c>
      <c r="S39" s="281">
        <f t="shared" si="27"/>
        <v>0</v>
      </c>
      <c r="T39" s="281">
        <f t="shared" si="29"/>
        <v>0</v>
      </c>
      <c r="U39" s="281">
        <f t="shared" si="29"/>
        <v>0</v>
      </c>
      <c r="V39" s="281">
        <f t="shared" si="29"/>
        <v>0</v>
      </c>
      <c r="W39" s="281">
        <f t="shared" si="29"/>
        <v>0</v>
      </c>
      <c r="X39" s="281">
        <f t="shared" si="29"/>
        <v>0</v>
      </c>
      <c r="Y39" s="281">
        <f t="shared" si="29"/>
        <v>0</v>
      </c>
      <c r="Z39" s="281">
        <f t="shared" si="29"/>
        <v>0</v>
      </c>
      <c r="AA39" s="281">
        <f t="shared" si="29"/>
        <v>0</v>
      </c>
      <c r="AB39" s="281">
        <f t="shared" si="29"/>
        <v>0</v>
      </c>
      <c r="AC39" s="281">
        <f t="shared" si="29"/>
        <v>0</v>
      </c>
      <c r="AD39" s="499">
        <f t="shared" si="28"/>
        <v>0</v>
      </c>
    </row>
    <row r="40" spans="1:30" s="30" customFormat="1" ht="18">
      <c r="A40" s="528" t="s">
        <v>144</v>
      </c>
      <c r="B40" s="127"/>
      <c r="C40" s="281">
        <v>0</v>
      </c>
      <c r="D40" s="281">
        <f t="shared" si="25"/>
        <v>0</v>
      </c>
      <c r="E40" s="281">
        <f t="shared" si="25"/>
        <v>0</v>
      </c>
      <c r="F40" s="281">
        <f t="shared" si="25"/>
        <v>0</v>
      </c>
      <c r="G40" s="281">
        <f t="shared" si="25"/>
        <v>0</v>
      </c>
      <c r="H40" s="281">
        <f t="shared" si="25"/>
        <v>0</v>
      </c>
      <c r="I40" s="281">
        <f t="shared" si="25"/>
        <v>0</v>
      </c>
      <c r="J40" s="281">
        <f t="shared" si="25"/>
        <v>0</v>
      </c>
      <c r="K40" s="281">
        <f t="shared" si="25"/>
        <v>0</v>
      </c>
      <c r="L40" s="281">
        <f t="shared" si="25"/>
        <v>0</v>
      </c>
      <c r="M40" s="281">
        <f t="shared" si="25"/>
        <v>0</v>
      </c>
      <c r="N40" s="281">
        <f t="shared" si="25"/>
        <v>0</v>
      </c>
      <c r="O40" s="499">
        <f t="shared" si="26"/>
        <v>0</v>
      </c>
      <c r="P40" s="128" t="str">
        <f t="shared" si="24"/>
        <v>Copy Services/Printing</v>
      </c>
      <c r="Q40" s="127"/>
      <c r="R40" s="281">
        <f aca="true" t="shared" si="30" ref="R40:R45">+N40</f>
        <v>0</v>
      </c>
      <c r="S40" s="281">
        <f t="shared" si="27"/>
        <v>0</v>
      </c>
      <c r="T40" s="281">
        <f t="shared" si="27"/>
        <v>0</v>
      </c>
      <c r="U40" s="281">
        <f t="shared" si="27"/>
        <v>0</v>
      </c>
      <c r="V40" s="281">
        <f t="shared" si="27"/>
        <v>0</v>
      </c>
      <c r="W40" s="281">
        <f t="shared" si="27"/>
        <v>0</v>
      </c>
      <c r="X40" s="281">
        <f t="shared" si="27"/>
        <v>0</v>
      </c>
      <c r="Y40" s="281">
        <f t="shared" si="27"/>
        <v>0</v>
      </c>
      <c r="Z40" s="281">
        <f t="shared" si="27"/>
        <v>0</v>
      </c>
      <c r="AA40" s="281">
        <f t="shared" si="27"/>
        <v>0</v>
      </c>
      <c r="AB40" s="281">
        <f t="shared" si="27"/>
        <v>0</v>
      </c>
      <c r="AC40" s="281">
        <f t="shared" si="27"/>
        <v>0</v>
      </c>
      <c r="AD40" s="499">
        <f t="shared" si="28"/>
        <v>0</v>
      </c>
    </row>
    <row r="41" spans="1:30" s="30" customFormat="1" ht="18">
      <c r="A41" s="528" t="s">
        <v>390</v>
      </c>
      <c r="B41" s="127"/>
      <c r="C41" s="281">
        <v>0</v>
      </c>
      <c r="D41" s="281">
        <f t="shared" si="25"/>
        <v>0</v>
      </c>
      <c r="E41" s="281">
        <f t="shared" si="25"/>
        <v>0</v>
      </c>
      <c r="F41" s="281">
        <f t="shared" si="25"/>
        <v>0</v>
      </c>
      <c r="G41" s="281">
        <f t="shared" si="25"/>
        <v>0</v>
      </c>
      <c r="H41" s="281">
        <f t="shared" si="25"/>
        <v>0</v>
      </c>
      <c r="I41" s="281">
        <f t="shared" si="25"/>
        <v>0</v>
      </c>
      <c r="J41" s="281">
        <f t="shared" si="25"/>
        <v>0</v>
      </c>
      <c r="K41" s="281">
        <f t="shared" si="25"/>
        <v>0</v>
      </c>
      <c r="L41" s="281">
        <f t="shared" si="25"/>
        <v>0</v>
      </c>
      <c r="M41" s="281">
        <f t="shared" si="25"/>
        <v>0</v>
      </c>
      <c r="N41" s="281">
        <f t="shared" si="25"/>
        <v>0</v>
      </c>
      <c r="O41" s="499">
        <f t="shared" si="26"/>
        <v>0</v>
      </c>
      <c r="P41" s="128" t="str">
        <f t="shared" si="24"/>
        <v>Dues &amp; Subscriptions</v>
      </c>
      <c r="Q41" s="127"/>
      <c r="R41" s="281">
        <f t="shared" si="30"/>
        <v>0</v>
      </c>
      <c r="S41" s="281">
        <f t="shared" si="27"/>
        <v>0</v>
      </c>
      <c r="T41" s="281">
        <f t="shared" si="27"/>
        <v>0</v>
      </c>
      <c r="U41" s="281">
        <f t="shared" si="27"/>
        <v>0</v>
      </c>
      <c r="V41" s="281">
        <f t="shared" si="27"/>
        <v>0</v>
      </c>
      <c r="W41" s="281">
        <f t="shared" si="27"/>
        <v>0</v>
      </c>
      <c r="X41" s="281">
        <f t="shared" si="27"/>
        <v>0</v>
      </c>
      <c r="Y41" s="281">
        <f t="shared" si="27"/>
        <v>0</v>
      </c>
      <c r="Z41" s="281">
        <f t="shared" si="27"/>
        <v>0</v>
      </c>
      <c r="AA41" s="281">
        <f t="shared" si="27"/>
        <v>0</v>
      </c>
      <c r="AB41" s="281">
        <f t="shared" si="27"/>
        <v>0</v>
      </c>
      <c r="AC41" s="281">
        <f t="shared" si="27"/>
        <v>0</v>
      </c>
      <c r="AD41" s="499">
        <f t="shared" si="28"/>
        <v>0</v>
      </c>
    </row>
    <row r="42" spans="1:30" s="30" customFormat="1" ht="18">
      <c r="A42" s="528" t="s">
        <v>397</v>
      </c>
      <c r="B42" s="127"/>
      <c r="C42" s="281">
        <v>0</v>
      </c>
      <c r="D42" s="281">
        <f t="shared" si="25"/>
        <v>0</v>
      </c>
      <c r="E42" s="281">
        <f t="shared" si="25"/>
        <v>0</v>
      </c>
      <c r="F42" s="281">
        <f t="shared" si="25"/>
        <v>0</v>
      </c>
      <c r="G42" s="281">
        <f t="shared" si="25"/>
        <v>0</v>
      </c>
      <c r="H42" s="281">
        <f t="shared" si="25"/>
        <v>0</v>
      </c>
      <c r="I42" s="281">
        <f t="shared" si="25"/>
        <v>0</v>
      </c>
      <c r="J42" s="281">
        <f t="shared" si="25"/>
        <v>0</v>
      </c>
      <c r="K42" s="281">
        <f t="shared" si="25"/>
        <v>0</v>
      </c>
      <c r="L42" s="281">
        <f t="shared" si="25"/>
        <v>0</v>
      </c>
      <c r="M42" s="281">
        <f t="shared" si="25"/>
        <v>0</v>
      </c>
      <c r="N42" s="281">
        <f t="shared" si="25"/>
        <v>0</v>
      </c>
      <c r="O42" s="499">
        <f t="shared" si="26"/>
        <v>0</v>
      </c>
      <c r="P42" s="128" t="str">
        <f t="shared" si="24"/>
        <v>PropertyTaxes</v>
      </c>
      <c r="Q42" s="127"/>
      <c r="R42" s="281">
        <f t="shared" si="30"/>
        <v>0</v>
      </c>
      <c r="S42" s="281">
        <f t="shared" si="27"/>
        <v>0</v>
      </c>
      <c r="T42" s="281">
        <f t="shared" si="27"/>
        <v>0</v>
      </c>
      <c r="U42" s="281">
        <f t="shared" si="27"/>
        <v>0</v>
      </c>
      <c r="V42" s="281">
        <f t="shared" si="27"/>
        <v>0</v>
      </c>
      <c r="W42" s="281">
        <f t="shared" si="27"/>
        <v>0</v>
      </c>
      <c r="X42" s="281">
        <f t="shared" si="27"/>
        <v>0</v>
      </c>
      <c r="Y42" s="281">
        <f t="shared" si="27"/>
        <v>0</v>
      </c>
      <c r="Z42" s="281">
        <f t="shared" si="27"/>
        <v>0</v>
      </c>
      <c r="AA42" s="281">
        <f t="shared" si="27"/>
        <v>0</v>
      </c>
      <c r="AB42" s="281">
        <f t="shared" si="27"/>
        <v>0</v>
      </c>
      <c r="AC42" s="281">
        <f t="shared" si="27"/>
        <v>0</v>
      </c>
      <c r="AD42" s="499">
        <f t="shared" si="28"/>
        <v>0</v>
      </c>
    </row>
    <row r="43" spans="1:30" s="30" customFormat="1" ht="18">
      <c r="A43" s="528" t="s">
        <v>146</v>
      </c>
      <c r="B43" s="279"/>
      <c r="C43" s="281">
        <v>0</v>
      </c>
      <c r="D43" s="281">
        <f t="shared" si="25"/>
        <v>0</v>
      </c>
      <c r="E43" s="281">
        <f t="shared" si="25"/>
        <v>0</v>
      </c>
      <c r="F43" s="281">
        <f t="shared" si="25"/>
        <v>0</v>
      </c>
      <c r="G43" s="281">
        <f t="shared" si="25"/>
        <v>0</v>
      </c>
      <c r="H43" s="281">
        <f t="shared" si="25"/>
        <v>0</v>
      </c>
      <c r="I43" s="281">
        <f t="shared" si="25"/>
        <v>0</v>
      </c>
      <c r="J43" s="281">
        <f t="shared" si="25"/>
        <v>0</v>
      </c>
      <c r="K43" s="281">
        <f t="shared" si="25"/>
        <v>0</v>
      </c>
      <c r="L43" s="281">
        <f t="shared" si="25"/>
        <v>0</v>
      </c>
      <c r="M43" s="281">
        <f t="shared" si="25"/>
        <v>0</v>
      </c>
      <c r="N43" s="281">
        <f t="shared" si="25"/>
        <v>0</v>
      </c>
      <c r="O43" s="499">
        <f t="shared" si="26"/>
        <v>0</v>
      </c>
      <c r="P43" s="128" t="str">
        <f t="shared" si="24"/>
        <v>Legal</v>
      </c>
      <c r="Q43" s="279"/>
      <c r="R43" s="281">
        <f t="shared" si="30"/>
        <v>0</v>
      </c>
      <c r="S43" s="281">
        <f t="shared" si="27"/>
        <v>0</v>
      </c>
      <c r="T43" s="281">
        <f t="shared" si="27"/>
        <v>0</v>
      </c>
      <c r="U43" s="281">
        <f t="shared" si="27"/>
        <v>0</v>
      </c>
      <c r="V43" s="281">
        <f t="shared" si="27"/>
        <v>0</v>
      </c>
      <c r="W43" s="281">
        <f t="shared" si="27"/>
        <v>0</v>
      </c>
      <c r="X43" s="281">
        <f t="shared" si="27"/>
        <v>0</v>
      </c>
      <c r="Y43" s="281">
        <f t="shared" si="27"/>
        <v>0</v>
      </c>
      <c r="Z43" s="281">
        <f t="shared" si="27"/>
        <v>0</v>
      </c>
      <c r="AA43" s="281">
        <f t="shared" si="27"/>
        <v>0</v>
      </c>
      <c r="AB43" s="281">
        <f t="shared" si="27"/>
        <v>0</v>
      </c>
      <c r="AC43" s="281">
        <f t="shared" si="27"/>
        <v>0</v>
      </c>
      <c r="AD43" s="499">
        <f t="shared" si="28"/>
        <v>0</v>
      </c>
    </row>
    <row r="44" spans="1:30" s="30" customFormat="1" ht="18">
      <c r="A44" s="528" t="s">
        <v>147</v>
      </c>
      <c r="B44" s="127"/>
      <c r="C44" s="281">
        <v>0</v>
      </c>
      <c r="D44" s="281">
        <f t="shared" si="25"/>
        <v>0</v>
      </c>
      <c r="E44" s="281">
        <f t="shared" si="25"/>
        <v>0</v>
      </c>
      <c r="F44" s="281">
        <f t="shared" si="25"/>
        <v>0</v>
      </c>
      <c r="G44" s="281">
        <f t="shared" si="25"/>
        <v>0</v>
      </c>
      <c r="H44" s="281">
        <f t="shared" si="25"/>
        <v>0</v>
      </c>
      <c r="I44" s="281">
        <f t="shared" si="25"/>
        <v>0</v>
      </c>
      <c r="J44" s="281">
        <f t="shared" si="25"/>
        <v>0</v>
      </c>
      <c r="K44" s="281">
        <f t="shared" si="25"/>
        <v>0</v>
      </c>
      <c r="L44" s="281">
        <f t="shared" si="25"/>
        <v>0</v>
      </c>
      <c r="M44" s="281">
        <f t="shared" si="25"/>
        <v>0</v>
      </c>
      <c r="N44" s="281">
        <f t="shared" si="25"/>
        <v>0</v>
      </c>
      <c r="O44" s="499">
        <f t="shared" si="26"/>
        <v>0</v>
      </c>
      <c r="P44" s="128" t="str">
        <f t="shared" si="24"/>
        <v>License/Permits/Fees</v>
      </c>
      <c r="Q44" s="127"/>
      <c r="R44" s="281">
        <f t="shared" si="30"/>
        <v>0</v>
      </c>
      <c r="S44" s="281">
        <f t="shared" si="27"/>
        <v>0</v>
      </c>
      <c r="T44" s="281">
        <f t="shared" si="27"/>
        <v>0</v>
      </c>
      <c r="U44" s="281">
        <f t="shared" si="27"/>
        <v>0</v>
      </c>
      <c r="V44" s="281">
        <f t="shared" si="27"/>
        <v>0</v>
      </c>
      <c r="W44" s="281">
        <f t="shared" si="27"/>
        <v>0</v>
      </c>
      <c r="X44" s="281">
        <f t="shared" si="27"/>
        <v>0</v>
      </c>
      <c r="Y44" s="281">
        <f t="shared" si="27"/>
        <v>0</v>
      </c>
      <c r="Z44" s="281">
        <f t="shared" si="27"/>
        <v>0</v>
      </c>
      <c r="AA44" s="281">
        <f t="shared" si="27"/>
        <v>0</v>
      </c>
      <c r="AB44" s="281">
        <f t="shared" si="27"/>
        <v>0</v>
      </c>
      <c r="AC44" s="281">
        <f t="shared" si="27"/>
        <v>0</v>
      </c>
      <c r="AD44" s="499">
        <f t="shared" si="28"/>
        <v>0</v>
      </c>
    </row>
    <row r="45" spans="1:30" s="30" customFormat="1" ht="18">
      <c r="A45" s="528" t="s">
        <v>148</v>
      </c>
      <c r="B45" s="127"/>
      <c r="C45" s="281">
        <v>0</v>
      </c>
      <c r="D45" s="281">
        <f t="shared" si="25"/>
        <v>0</v>
      </c>
      <c r="E45" s="281">
        <f t="shared" si="25"/>
        <v>0</v>
      </c>
      <c r="F45" s="281">
        <f t="shared" si="25"/>
        <v>0</v>
      </c>
      <c r="G45" s="281">
        <f t="shared" si="25"/>
        <v>0</v>
      </c>
      <c r="H45" s="281">
        <f t="shared" si="25"/>
        <v>0</v>
      </c>
      <c r="I45" s="281">
        <f t="shared" si="25"/>
        <v>0</v>
      </c>
      <c r="J45" s="281">
        <f t="shared" si="25"/>
        <v>0</v>
      </c>
      <c r="K45" s="281">
        <f t="shared" si="25"/>
        <v>0</v>
      </c>
      <c r="L45" s="281">
        <f t="shared" si="25"/>
        <v>0</v>
      </c>
      <c r="M45" s="281">
        <f t="shared" si="25"/>
        <v>0</v>
      </c>
      <c r="N45" s="281">
        <f t="shared" si="25"/>
        <v>0</v>
      </c>
      <c r="O45" s="499">
        <f t="shared" si="26"/>
        <v>0</v>
      </c>
      <c r="P45" s="128" t="str">
        <f t="shared" si="24"/>
        <v>Office Supplies</v>
      </c>
      <c r="Q45" s="127"/>
      <c r="R45" s="281">
        <f t="shared" si="30"/>
        <v>0</v>
      </c>
      <c r="S45" s="281">
        <f t="shared" si="27"/>
        <v>0</v>
      </c>
      <c r="T45" s="281">
        <f t="shared" si="27"/>
        <v>0</v>
      </c>
      <c r="U45" s="281">
        <f t="shared" si="27"/>
        <v>0</v>
      </c>
      <c r="V45" s="281">
        <f t="shared" si="27"/>
        <v>0</v>
      </c>
      <c r="W45" s="281">
        <f t="shared" si="27"/>
        <v>0</v>
      </c>
      <c r="X45" s="281">
        <f t="shared" si="27"/>
        <v>0</v>
      </c>
      <c r="Y45" s="281">
        <f t="shared" si="27"/>
        <v>0</v>
      </c>
      <c r="Z45" s="281">
        <f t="shared" si="27"/>
        <v>0</v>
      </c>
      <c r="AA45" s="281">
        <f t="shared" si="27"/>
        <v>0</v>
      </c>
      <c r="AB45" s="281">
        <f t="shared" si="27"/>
        <v>0</v>
      </c>
      <c r="AC45" s="281">
        <f t="shared" si="27"/>
        <v>0</v>
      </c>
      <c r="AD45" s="499">
        <f t="shared" si="28"/>
        <v>0</v>
      </c>
    </row>
    <row r="46" spans="1:30" s="30" customFormat="1" ht="18">
      <c r="A46" s="273" t="s">
        <v>175</v>
      </c>
      <c r="B46" s="272">
        <v>0.05</v>
      </c>
      <c r="C46" s="261">
        <f aca="true" t="shared" si="31" ref="C46:N46">+$B46*(SUM(C37:C45)+C23+C34+C16)</f>
        <v>0</v>
      </c>
      <c r="D46" s="261">
        <f t="shared" si="31"/>
        <v>0</v>
      </c>
      <c r="E46" s="261">
        <f t="shared" si="31"/>
        <v>0</v>
      </c>
      <c r="F46" s="261">
        <f t="shared" si="31"/>
        <v>0</v>
      </c>
      <c r="G46" s="261">
        <f t="shared" si="31"/>
        <v>0</v>
      </c>
      <c r="H46" s="261">
        <f t="shared" si="31"/>
        <v>0</v>
      </c>
      <c r="I46" s="261">
        <f t="shared" si="31"/>
        <v>0</v>
      </c>
      <c r="J46" s="261">
        <f t="shared" si="31"/>
        <v>0</v>
      </c>
      <c r="K46" s="261">
        <f t="shared" si="31"/>
        <v>0</v>
      </c>
      <c r="L46" s="261">
        <f t="shared" si="31"/>
        <v>0</v>
      </c>
      <c r="M46" s="261">
        <f t="shared" si="31"/>
        <v>0</v>
      </c>
      <c r="N46" s="261">
        <f t="shared" si="31"/>
        <v>0</v>
      </c>
      <c r="O46" s="500">
        <f t="shared" si="26"/>
        <v>0</v>
      </c>
      <c r="P46" s="50" t="str">
        <f t="shared" si="24"/>
        <v>-&gt; Misc/Contingency</v>
      </c>
      <c r="Q46" s="272">
        <f>B46</f>
        <v>0.05</v>
      </c>
      <c r="R46" s="261">
        <f aca="true" t="shared" si="32" ref="R46:AC46">+$B46*(SUM(R37:R45)+R23+R34+R16)</f>
        <v>0</v>
      </c>
      <c r="S46" s="261">
        <f t="shared" si="32"/>
        <v>0</v>
      </c>
      <c r="T46" s="261">
        <f t="shared" si="32"/>
        <v>0</v>
      </c>
      <c r="U46" s="261">
        <f t="shared" si="32"/>
        <v>0</v>
      </c>
      <c r="V46" s="261">
        <f t="shared" si="32"/>
        <v>0</v>
      </c>
      <c r="W46" s="261">
        <f t="shared" si="32"/>
        <v>0</v>
      </c>
      <c r="X46" s="261">
        <f t="shared" si="32"/>
        <v>0</v>
      </c>
      <c r="Y46" s="261">
        <f t="shared" si="32"/>
        <v>0</v>
      </c>
      <c r="Z46" s="261">
        <f t="shared" si="32"/>
        <v>0</v>
      </c>
      <c r="AA46" s="261">
        <f t="shared" si="32"/>
        <v>0</v>
      </c>
      <c r="AB46" s="261">
        <f t="shared" si="32"/>
        <v>0</v>
      </c>
      <c r="AC46" s="261">
        <f t="shared" si="32"/>
        <v>0</v>
      </c>
      <c r="AD46" s="500">
        <f t="shared" si="28"/>
        <v>0</v>
      </c>
    </row>
    <row r="47" spans="1:30" s="30" customFormat="1" ht="18">
      <c r="A47" s="61" t="s">
        <v>429</v>
      </c>
      <c r="B47" s="127"/>
      <c r="C47" s="33">
        <f aca="true" t="shared" si="33" ref="C47:N47">SUM(C37:C46)</f>
        <v>0</v>
      </c>
      <c r="D47" s="33">
        <f t="shared" si="33"/>
        <v>0</v>
      </c>
      <c r="E47" s="33">
        <f t="shared" si="33"/>
        <v>0</v>
      </c>
      <c r="F47" s="33">
        <f t="shared" si="33"/>
        <v>0</v>
      </c>
      <c r="G47" s="33">
        <f t="shared" si="33"/>
        <v>0</v>
      </c>
      <c r="H47" s="33">
        <f t="shared" si="33"/>
        <v>0</v>
      </c>
      <c r="I47" s="33">
        <f t="shared" si="33"/>
        <v>0</v>
      </c>
      <c r="J47" s="33">
        <f t="shared" si="33"/>
        <v>0</v>
      </c>
      <c r="K47" s="33">
        <f t="shared" si="33"/>
        <v>0</v>
      </c>
      <c r="L47" s="33">
        <f t="shared" si="33"/>
        <v>0</v>
      </c>
      <c r="M47" s="33">
        <f t="shared" si="33"/>
        <v>0</v>
      </c>
      <c r="N47" s="33">
        <f t="shared" si="33"/>
        <v>0</v>
      </c>
      <c r="O47" s="502">
        <f t="shared" si="26"/>
        <v>0</v>
      </c>
      <c r="P47" s="61" t="str">
        <f t="shared" si="24"/>
        <v>Total Administrative</v>
      </c>
      <c r="Q47" s="127"/>
      <c r="R47" s="33">
        <f aca="true" t="shared" si="34" ref="R47:AC47">SUM(R37:R46)</f>
        <v>0</v>
      </c>
      <c r="S47" s="33">
        <f t="shared" si="34"/>
        <v>0</v>
      </c>
      <c r="T47" s="33">
        <f t="shared" si="34"/>
        <v>0</v>
      </c>
      <c r="U47" s="33">
        <f t="shared" si="34"/>
        <v>0</v>
      </c>
      <c r="V47" s="33">
        <f t="shared" si="34"/>
        <v>0</v>
      </c>
      <c r="W47" s="33">
        <f t="shared" si="34"/>
        <v>0</v>
      </c>
      <c r="X47" s="33">
        <f t="shared" si="34"/>
        <v>0</v>
      </c>
      <c r="Y47" s="33">
        <f t="shared" si="34"/>
        <v>0</v>
      </c>
      <c r="Z47" s="33">
        <f t="shared" si="34"/>
        <v>0</v>
      </c>
      <c r="AA47" s="33">
        <f t="shared" si="34"/>
        <v>0</v>
      </c>
      <c r="AB47" s="33">
        <f t="shared" si="34"/>
        <v>0</v>
      </c>
      <c r="AC47" s="33">
        <f t="shared" si="34"/>
        <v>0</v>
      </c>
      <c r="AD47" s="499">
        <f t="shared" si="28"/>
        <v>0</v>
      </c>
    </row>
    <row r="48" s="30" customFormat="1" ht="18"/>
    <row r="49" spans="1:30" s="13" customFormat="1" ht="18">
      <c r="A49" s="283"/>
      <c r="B49" s="67"/>
      <c r="C49" s="67"/>
      <c r="D49" s="67"/>
      <c r="E49" s="67"/>
      <c r="F49" s="67"/>
      <c r="G49" s="67"/>
      <c r="H49" s="67"/>
      <c r="I49" s="67"/>
      <c r="J49" s="67"/>
      <c r="K49" s="67"/>
      <c r="L49" s="67"/>
      <c r="M49" s="67"/>
      <c r="N49" s="67"/>
      <c r="O49" s="283"/>
      <c r="P49" s="284"/>
      <c r="Q49" s="67"/>
      <c r="R49" s="67"/>
      <c r="S49" s="67"/>
      <c r="T49" s="67"/>
      <c r="U49" s="67"/>
      <c r="V49" s="67"/>
      <c r="W49" s="67"/>
      <c r="X49" s="67"/>
      <c r="Y49" s="67"/>
      <c r="Z49" s="67"/>
      <c r="AA49" s="67"/>
      <c r="AB49" s="67"/>
      <c r="AC49" s="67"/>
      <c r="AD49" s="501"/>
    </row>
    <row r="50" spans="1:30" s="30" customFormat="1" ht="18.75" thickBot="1">
      <c r="A50" s="652" t="s">
        <v>552</v>
      </c>
      <c r="B50" s="627"/>
      <c r="C50" s="628">
        <f aca="true" t="shared" si="35" ref="C50:N50">+C16+C23+C34+C47</f>
        <v>0</v>
      </c>
      <c r="D50" s="628">
        <f t="shared" si="35"/>
        <v>0</v>
      </c>
      <c r="E50" s="628">
        <f t="shared" si="35"/>
        <v>0</v>
      </c>
      <c r="F50" s="628">
        <f t="shared" si="35"/>
        <v>0</v>
      </c>
      <c r="G50" s="628">
        <f t="shared" si="35"/>
        <v>0</v>
      </c>
      <c r="H50" s="628">
        <f t="shared" si="35"/>
        <v>0</v>
      </c>
      <c r="I50" s="628">
        <f t="shared" si="35"/>
        <v>0</v>
      </c>
      <c r="J50" s="628">
        <f t="shared" si="35"/>
        <v>0</v>
      </c>
      <c r="K50" s="628">
        <f t="shared" si="35"/>
        <v>0</v>
      </c>
      <c r="L50" s="628">
        <f t="shared" si="35"/>
        <v>0</v>
      </c>
      <c r="M50" s="628">
        <f t="shared" si="35"/>
        <v>0</v>
      </c>
      <c r="N50" s="629">
        <f t="shared" si="35"/>
        <v>0</v>
      </c>
      <c r="O50" s="631">
        <f>SUM(C50:N50)</f>
        <v>0</v>
      </c>
      <c r="P50" s="653" t="s">
        <v>552</v>
      </c>
      <c r="Q50" s="630"/>
      <c r="R50" s="651">
        <f aca="true" t="shared" si="36" ref="R50:AC50">+R16+R23+R34+R47</f>
        <v>0</v>
      </c>
      <c r="S50" s="628">
        <f t="shared" si="36"/>
        <v>0</v>
      </c>
      <c r="T50" s="628">
        <f t="shared" si="36"/>
        <v>0</v>
      </c>
      <c r="U50" s="628">
        <f t="shared" si="36"/>
        <v>0</v>
      </c>
      <c r="V50" s="628">
        <f t="shared" si="36"/>
        <v>0</v>
      </c>
      <c r="W50" s="628">
        <f t="shared" si="36"/>
        <v>0</v>
      </c>
      <c r="X50" s="628">
        <f t="shared" si="36"/>
        <v>0</v>
      </c>
      <c r="Y50" s="628">
        <f t="shared" si="36"/>
        <v>0</v>
      </c>
      <c r="Z50" s="628">
        <f t="shared" si="36"/>
        <v>0</v>
      </c>
      <c r="AA50" s="628">
        <f t="shared" si="36"/>
        <v>0</v>
      </c>
      <c r="AB50" s="628">
        <f t="shared" si="36"/>
        <v>0</v>
      </c>
      <c r="AC50" s="629">
        <f t="shared" si="36"/>
        <v>0</v>
      </c>
      <c r="AD50" s="631">
        <f>SUM(R50:AC50)</f>
        <v>0</v>
      </c>
    </row>
    <row r="51" spans="1:30" s="13" customFormat="1" ht="18.75" thickTop="1">
      <c r="A51" s="650"/>
      <c r="B51" s="288"/>
      <c r="C51" s="288"/>
      <c r="D51" s="288"/>
      <c r="E51" s="288"/>
      <c r="F51" s="288"/>
      <c r="G51" s="288"/>
      <c r="H51" s="288"/>
      <c r="I51" s="288"/>
      <c r="J51" s="288"/>
      <c r="K51" s="288"/>
      <c r="L51" s="288"/>
      <c r="M51" s="288"/>
      <c r="N51" s="288"/>
      <c r="O51" s="283"/>
      <c r="P51" s="284"/>
      <c r="Q51" s="67"/>
      <c r="R51" s="288"/>
      <c r="S51" s="288"/>
      <c r="T51" s="288"/>
      <c r="U51" s="288"/>
      <c r="V51" s="288"/>
      <c r="W51" s="288"/>
      <c r="X51" s="288"/>
      <c r="Y51" s="288"/>
      <c r="Z51" s="288"/>
      <c r="AA51" s="288"/>
      <c r="AB51" s="288"/>
      <c r="AC51" s="288"/>
      <c r="AD51" s="501"/>
    </row>
    <row r="52" spans="1:37" s="30" customFormat="1" ht="18">
      <c r="A52" s="165"/>
      <c r="B52" s="279"/>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row>
    <row r="53" spans="1:37" s="30" customFormat="1" ht="18">
      <c r="A53" s="165"/>
      <c r="B53" s="279"/>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row>
    <row r="54" spans="1:37" s="30" customFormat="1" ht="18">
      <c r="A54" s="165"/>
      <c r="B54" s="279"/>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row>
    <row r="55" spans="1:37" s="30" customFormat="1" ht="18">
      <c r="A55" s="165"/>
      <c r="B55" s="279"/>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row>
    <row r="56" spans="1:37" s="30" customFormat="1" ht="18">
      <c r="A56" s="165"/>
      <c r="B56" s="279"/>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row>
    <row r="57" spans="1:37" s="30" customFormat="1" ht="18">
      <c r="A57" s="165"/>
      <c r="B57" s="279"/>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row>
    <row r="58" spans="1:37" s="30" customFormat="1" ht="18">
      <c r="A58" s="165"/>
      <c r="B58" s="279"/>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row>
    <row r="59" spans="1:37" s="30" customFormat="1" ht="18">
      <c r="A59" s="165"/>
      <c r="B59" s="279"/>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row>
    <row r="60" spans="1:37" s="30" customFormat="1" ht="18">
      <c r="A60" s="165"/>
      <c r="B60" s="279"/>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row>
    <row r="61" spans="1:37" s="30" customFormat="1" ht="18">
      <c r="A61" s="165"/>
      <c r="B61" s="279"/>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row>
    <row r="62" spans="1:37" s="30" customFormat="1" ht="18">
      <c r="A62" s="165"/>
      <c r="B62" s="279"/>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row>
    <row r="63" spans="1:37" s="30" customFormat="1" ht="18">
      <c r="A63" s="165"/>
      <c r="B63" s="279"/>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row>
    <row r="64" spans="1:37" s="30" customFormat="1" ht="18">
      <c r="A64" s="165"/>
      <c r="B64" s="279"/>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1:37" s="30" customFormat="1" ht="18">
      <c r="A65" s="165"/>
      <c r="B65" s="279"/>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row>
    <row r="66" spans="1:37" s="30" customFormat="1" ht="18">
      <c r="A66" s="165"/>
      <c r="B66" s="279"/>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row>
    <row r="67" spans="1:37" s="30" customFormat="1" ht="18">
      <c r="A67" s="165"/>
      <c r="B67" s="279"/>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row>
    <row r="68" spans="1:37" s="30" customFormat="1" ht="18">
      <c r="A68" s="165"/>
      <c r="B68" s="279"/>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row>
    <row r="69" spans="1:37" s="30" customFormat="1" ht="18">
      <c r="A69" s="165"/>
      <c r="B69" s="279"/>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row>
    <row r="70" spans="1:37" s="30" customFormat="1" ht="18">
      <c r="A70" s="165"/>
      <c r="B70" s="279"/>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row>
    <row r="71" spans="1:37" s="30" customFormat="1" ht="18">
      <c r="A71" s="165"/>
      <c r="B71" s="279"/>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row>
    <row r="72" spans="1:37" s="30" customFormat="1" ht="18">
      <c r="A72" s="165"/>
      <c r="B72" s="279"/>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row>
    <row r="73" spans="1:37" s="30" customFormat="1" ht="18">
      <c r="A73" s="165"/>
      <c r="B73" s="279"/>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row>
    <row r="74" spans="1:37" s="30" customFormat="1" ht="18">
      <c r="A74" s="165"/>
      <c r="B74" s="279"/>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row>
    <row r="75" spans="1:37" s="30" customFormat="1" ht="18">
      <c r="A75" s="165"/>
      <c r="B75" s="279"/>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row>
    <row r="76" spans="1:37" s="30" customFormat="1" ht="18">
      <c r="A76" s="165"/>
      <c r="B76" s="279"/>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row>
    <row r="77" spans="1:37" s="30" customFormat="1" ht="18">
      <c r="A77" s="165"/>
      <c r="B77" s="279"/>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row>
    <row r="78" spans="1:37" s="30" customFormat="1" ht="18">
      <c r="A78" s="165"/>
      <c r="B78" s="279"/>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row>
    <row r="79" spans="1:37" s="30" customFormat="1" ht="18">
      <c r="A79" s="165"/>
      <c r="B79" s="279"/>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row>
    <row r="80" spans="1:37" s="30" customFormat="1" ht="18">
      <c r="A80" s="165"/>
      <c r="B80" s="279"/>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row>
    <row r="81" spans="1:37" s="30" customFormat="1" ht="18">
      <c r="A81" s="165"/>
      <c r="B81" s="279"/>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row>
  </sheetData>
  <sheetProtection/>
  <printOptions/>
  <pageMargins left="0.5" right="0.5" top="0.75" bottom="0.75" header="0.5" footer="0.5"/>
  <pageSetup firstPageNumber="1" useFirstPageNumber="1" horizontalDpi="600" verticalDpi="600" orientation="landscape" pageOrder="overThenDown" scale="51" r:id="rId3"/>
  <headerFooter alignWithMargins="0">
    <oddFooter>&amp;R&amp;A  Page &amp;P</oddFooter>
  </headerFooter>
  <colBreaks count="1" manualBreakCount="1">
    <brk id="15" max="65535" man="1"/>
  </colBreaks>
  <legacyDrawing r:id="rId2"/>
</worksheet>
</file>

<file path=xl/worksheets/sheet5.xml><?xml version="1.0" encoding="utf-8"?>
<worksheet xmlns="http://schemas.openxmlformats.org/spreadsheetml/2006/main" xmlns:r="http://schemas.openxmlformats.org/officeDocument/2006/relationships">
  <dimension ref="A1:AG51"/>
  <sheetViews>
    <sheetView zoomScale="85" zoomScaleNormal="85" zoomScaleSheetLayoutView="50" zoomScalePageLayoutView="0" workbookViewId="0" topLeftCell="E1">
      <selection activeCell="R6" sqref="R6:AC6"/>
    </sheetView>
  </sheetViews>
  <sheetFormatPr defaultColWidth="8.72265625" defaultRowHeight="18"/>
  <cols>
    <col min="1" max="1" width="22.453125" style="0" customWidth="1"/>
    <col min="2" max="2" width="8.8125" style="0" customWidth="1"/>
    <col min="3" max="14" width="9.90625" style="0" customWidth="1"/>
    <col min="15" max="15" width="10.99609375" style="0" bestFit="1" customWidth="1"/>
    <col min="16" max="16" width="22.36328125" style="0" customWidth="1"/>
    <col min="17" max="17" width="8.8125" style="0" bestFit="1" customWidth="1"/>
    <col min="18" max="30" width="9.90625" style="0" customWidth="1"/>
  </cols>
  <sheetData>
    <row r="1" spans="1:30" ht="18">
      <c r="A1" s="24" t="str">
        <f>+Headcount!A$1</f>
        <v>MyCo</v>
      </c>
      <c r="B1" s="19"/>
      <c r="C1" s="19"/>
      <c r="D1" s="19"/>
      <c r="E1" s="19"/>
      <c r="F1" s="19"/>
      <c r="G1" s="19"/>
      <c r="H1" s="19"/>
      <c r="I1" s="19"/>
      <c r="J1" s="19"/>
      <c r="K1" s="19"/>
      <c r="L1" s="19"/>
      <c r="M1" s="19"/>
      <c r="N1" s="19"/>
      <c r="O1" s="64" t="str">
        <f>+Headcount!O$1</f>
        <v>Draft 1.0</v>
      </c>
      <c r="P1" s="24" t="str">
        <f>+A1</f>
        <v>MyCo</v>
      </c>
      <c r="Q1" s="19"/>
      <c r="R1" s="19"/>
      <c r="S1" s="19"/>
      <c r="T1" s="19"/>
      <c r="U1" s="19"/>
      <c r="V1" s="19"/>
      <c r="W1" s="19"/>
      <c r="X1" s="19"/>
      <c r="Y1" s="19"/>
      <c r="Z1" s="19"/>
      <c r="AA1" s="19"/>
      <c r="AB1" s="19"/>
      <c r="AC1" s="19"/>
      <c r="AD1" s="64" t="str">
        <f>+O1</f>
        <v>Draft 1.0</v>
      </c>
    </row>
    <row r="2" spans="1:30" ht="23.25">
      <c r="A2" s="20" t="s">
        <v>464</v>
      </c>
      <c r="B2" s="19"/>
      <c r="C2" s="19"/>
      <c r="D2" s="19"/>
      <c r="E2" s="19"/>
      <c r="F2" s="19"/>
      <c r="G2" s="19"/>
      <c r="H2" s="104"/>
      <c r="I2" s="19"/>
      <c r="J2" s="19"/>
      <c r="K2" s="19"/>
      <c r="L2" s="19"/>
      <c r="M2" s="19"/>
      <c r="N2" s="25"/>
      <c r="O2" s="19"/>
      <c r="P2" s="20" t="str">
        <f>+A2</f>
        <v>EQUIPMENT (FIXED ASSETS)</v>
      </c>
      <c r="Q2" s="19"/>
      <c r="R2" s="19"/>
      <c r="S2" s="19"/>
      <c r="T2" s="19"/>
      <c r="U2" s="19"/>
      <c r="V2" s="19"/>
      <c r="W2" s="104"/>
      <c r="X2" s="19"/>
      <c r="Y2" s="19"/>
      <c r="Z2" s="19"/>
      <c r="AA2" s="19"/>
      <c r="AB2" s="19"/>
      <c r="AC2" s="25"/>
      <c r="AD2" s="19"/>
    </row>
    <row r="3" spans="1:29" ht="18">
      <c r="A3" s="21">
        <f>+Headcount!A$3</f>
        <v>2022</v>
      </c>
      <c r="B3" s="18"/>
      <c r="C3" s="18"/>
      <c r="D3" s="18"/>
      <c r="E3" s="18"/>
      <c r="F3" s="18"/>
      <c r="G3" s="18"/>
      <c r="H3" s="18"/>
      <c r="I3" s="18"/>
      <c r="J3" s="18"/>
      <c r="K3" s="18"/>
      <c r="L3" s="18"/>
      <c r="M3" s="18"/>
      <c r="N3" s="18"/>
      <c r="P3" s="21">
        <f>IF(A3="Year 1","Year 2",A3+1)</f>
        <v>2023</v>
      </c>
      <c r="Q3" s="18"/>
      <c r="R3" s="18"/>
      <c r="S3" s="18"/>
      <c r="T3" s="18"/>
      <c r="U3" s="18"/>
      <c r="V3" s="18"/>
      <c r="W3" s="18"/>
      <c r="X3" s="18"/>
      <c r="Y3" s="18"/>
      <c r="Z3" s="18"/>
      <c r="AA3" s="18"/>
      <c r="AB3" s="18"/>
      <c r="AC3" s="18"/>
    </row>
    <row r="4" spans="1:29" ht="18">
      <c r="A4" s="21"/>
      <c r="B4" s="18"/>
      <c r="C4" s="18"/>
      <c r="D4" s="18"/>
      <c r="E4" s="18"/>
      <c r="F4" s="18"/>
      <c r="G4" s="18"/>
      <c r="H4" s="18"/>
      <c r="I4" s="18"/>
      <c r="J4" s="18"/>
      <c r="K4" s="18"/>
      <c r="L4" s="18"/>
      <c r="M4" s="18"/>
      <c r="N4" s="18"/>
      <c r="P4" s="21"/>
      <c r="Q4" s="18"/>
      <c r="R4" s="18"/>
      <c r="S4" s="18"/>
      <c r="T4" s="18"/>
      <c r="U4" s="18"/>
      <c r="V4" s="18"/>
      <c r="W4" s="18"/>
      <c r="X4" s="18"/>
      <c r="Y4" s="18"/>
      <c r="Z4" s="18"/>
      <c r="AA4" s="18"/>
      <c r="AB4" s="18"/>
      <c r="AC4" s="18"/>
    </row>
    <row r="5" spans="1:30" ht="18">
      <c r="A5" s="21"/>
      <c r="B5" s="18"/>
      <c r="C5" s="619">
        <f>IF(ISBLANK(Headcount!C$3),"",Headcount!C$3)</f>
      </c>
      <c r="D5" s="619">
        <f>IF(ISBLANK(Headcount!D$3),"",Headcount!D$3)</f>
      </c>
      <c r="E5" s="619">
        <f>IF(ISBLANK(Headcount!E$3),"",Headcount!E$3)</f>
      </c>
      <c r="F5" s="619">
        <f>IF(ISBLANK(Headcount!F$3),"",Headcount!F$3)</f>
      </c>
      <c r="G5" s="619">
        <f>IF(ISBLANK(Headcount!G$3),"",Headcount!G$3)</f>
      </c>
      <c r="H5" s="619">
        <f>IF(ISBLANK(Headcount!H$3),"",Headcount!H$3)</f>
      </c>
      <c r="I5" s="619">
        <f>IF(ISBLANK(Headcount!I$3),"",Headcount!I$3)</f>
      </c>
      <c r="J5" s="619">
        <f>IF(ISBLANK(Headcount!J$3),"",Headcount!J$3)</f>
      </c>
      <c r="K5" s="619">
        <f>IF(ISBLANK(Headcount!K$3),"",Headcount!K$3)</f>
      </c>
      <c r="L5" s="619">
        <f>IF(ISBLANK(Headcount!L$3),"",Headcount!L$3)</f>
      </c>
      <c r="M5" s="619">
        <f>IF(ISBLANK(Headcount!M$3),"",Headcount!M$3)</f>
      </c>
      <c r="N5" s="619">
        <f>IF(ISBLANK(Headcount!N$3),"",Headcount!N$3)</f>
      </c>
      <c r="O5" s="44"/>
      <c r="P5" s="155"/>
      <c r="Q5" s="610"/>
      <c r="R5" s="619">
        <f>IF(ISBLANK(Headcount!R$3),"",Headcount!R$3)</f>
      </c>
      <c r="S5" s="619">
        <f>IF(ISBLANK(Headcount!S$3),"",Headcount!S$3)</f>
      </c>
      <c r="T5" s="619">
        <f>IF(ISBLANK(Headcount!T$3),"",Headcount!T$3)</f>
      </c>
      <c r="U5" s="619">
        <f>IF(ISBLANK(Headcount!U$3),"",Headcount!U$3)</f>
      </c>
      <c r="V5" s="619">
        <f>IF(ISBLANK(Headcount!V$3),"",Headcount!V$3)</f>
      </c>
      <c r="W5" s="619">
        <f>IF(ISBLANK(Headcount!W$3),"",Headcount!W$3)</f>
      </c>
      <c r="X5" s="619">
        <f>IF(ISBLANK(Headcount!X$3),"",Headcount!X$3)</f>
      </c>
      <c r="Y5" s="619">
        <f>IF(ISBLANK(Headcount!Y$3),"",Headcount!Y$3)</f>
      </c>
      <c r="Z5" s="619">
        <f>IF(ISBLANK(Headcount!Z$3),"",Headcount!Z$3)</f>
      </c>
      <c r="AA5" s="619">
        <f>IF(ISBLANK(Headcount!AA$3),"",Headcount!AA$3)</f>
      </c>
      <c r="AB5" s="619">
        <f>IF(ISBLANK(Headcount!AB$3),"",Headcount!AB$3)</f>
      </c>
      <c r="AC5" s="619">
        <f>IF(ISBLANK(Headcount!AC$3),"",Headcount!AC$3)</f>
      </c>
      <c r="AD5" s="44"/>
    </row>
    <row r="6" spans="1:29" ht="18">
      <c r="A6" s="18"/>
      <c r="B6" s="37" t="s">
        <v>49</v>
      </c>
      <c r="C6" s="22" t="str">
        <f>IF(ISBLANK(Headcount!C$4),"",Headcount!C$4)</f>
        <v>Month</v>
      </c>
      <c r="D6" s="22" t="str">
        <f>IF(ISBLANK(Headcount!D$4),"",Headcount!D$4)</f>
        <v>Actual</v>
      </c>
      <c r="E6" s="22" t="str">
        <f>IF(ISBLANK(Headcount!E$4),"",Headcount!E$4)</f>
        <v>Actual</v>
      </c>
      <c r="F6" s="659" t="str">
        <f>IF(ISBLANK(Headcount!F$4),"",Headcount!F$4)</f>
        <v>Forecast</v>
      </c>
      <c r="G6" s="659" t="str">
        <f>IF(ISBLANK(Headcount!G$4),"",Headcount!G$4)</f>
        <v>Forecast</v>
      </c>
      <c r="H6" s="659" t="str">
        <f>IF(ISBLANK(Headcount!H$4),"",Headcount!H$4)</f>
        <v>Forecast</v>
      </c>
      <c r="I6" s="659" t="str">
        <f>IF(ISBLANK(Headcount!I$4),"",Headcount!I$4)</f>
        <v>Forecast</v>
      </c>
      <c r="J6" s="659" t="str">
        <f>IF(ISBLANK(Headcount!J$4),"",Headcount!J$4)</f>
        <v>Forecast</v>
      </c>
      <c r="K6" s="659" t="str">
        <f>IF(ISBLANK(Headcount!K$4),"",Headcount!K$4)</f>
        <v>Forecast</v>
      </c>
      <c r="L6" s="659" t="str">
        <f>IF(ISBLANK(Headcount!L$4),"",Headcount!L$4)</f>
        <v>Forecast</v>
      </c>
      <c r="M6" s="659" t="str">
        <f>IF(ISBLANK(Headcount!M$4),"",Headcount!M$4)</f>
        <v>Forecast</v>
      </c>
      <c r="N6" s="659" t="str">
        <f>IF(ISBLANK(Headcount!N$4),"",Headcount!N$4)</f>
        <v>Forecast</v>
      </c>
      <c r="P6" s="18"/>
      <c r="Q6" s="37" t="s">
        <v>49</v>
      </c>
      <c r="R6" s="659" t="str">
        <f>IF(ISBLANK(Headcount!R$4),"",Headcount!R$4)</f>
        <v>Forecast</v>
      </c>
      <c r="S6" s="659" t="str">
        <f>IF(ISBLANK(Headcount!S$4),"",Headcount!S$4)</f>
        <v>Forecast</v>
      </c>
      <c r="T6" s="659" t="str">
        <f>IF(ISBLANK(Headcount!T$4),"",Headcount!T$4)</f>
        <v>Forecast</v>
      </c>
      <c r="U6" s="659" t="str">
        <f>IF(ISBLANK(Headcount!U$4),"",Headcount!U$4)</f>
        <v>Forecast</v>
      </c>
      <c r="V6" s="659" t="str">
        <f>IF(ISBLANK(Headcount!V$4),"",Headcount!V$4)</f>
        <v>Forecast</v>
      </c>
      <c r="W6" s="659" t="str">
        <f>IF(ISBLANK(Headcount!W$4),"",Headcount!W$4)</f>
        <v>Forecast</v>
      </c>
      <c r="X6" s="659" t="str">
        <f>IF(ISBLANK(Headcount!X$4),"",Headcount!X$4)</f>
        <v>Forecast</v>
      </c>
      <c r="Y6" s="659" t="str">
        <f>IF(ISBLANK(Headcount!Y$4),"",Headcount!Y$4)</f>
        <v>Forecast</v>
      </c>
      <c r="Z6" s="659" t="str">
        <f>IF(ISBLANK(Headcount!Z$4),"",Headcount!Z$4)</f>
        <v>Forecast</v>
      </c>
      <c r="AA6" s="659" t="str">
        <f>IF(ISBLANK(Headcount!AA$4),"",Headcount!AA$4)</f>
        <v>Forecast</v>
      </c>
      <c r="AB6" s="659" t="str">
        <f>IF(ISBLANK(Headcount!AB$4),"",Headcount!AB$4)</f>
        <v>Forecast</v>
      </c>
      <c r="AC6" s="659" t="str">
        <f>IF(ISBLANK(Headcount!AC$4),"",Headcount!AC$4)</f>
        <v>Forecast</v>
      </c>
    </row>
    <row r="7" spans="1:30" ht="21" thickBot="1">
      <c r="A7" s="609" t="s">
        <v>24</v>
      </c>
      <c r="B7" s="38" t="s">
        <v>73</v>
      </c>
      <c r="C7" s="157" t="str">
        <f>+Headcount!C$5</f>
        <v>Jan</v>
      </c>
      <c r="D7" s="157" t="str">
        <f>+Headcount!D$5</f>
        <v>Feb</v>
      </c>
      <c r="E7" s="157" t="str">
        <f>+Headcount!E$5</f>
        <v>Mar</v>
      </c>
      <c r="F7" s="157" t="str">
        <f>+Headcount!F$5</f>
        <v>Apr</v>
      </c>
      <c r="G7" s="157" t="str">
        <f>+Headcount!G$5</f>
        <v>May</v>
      </c>
      <c r="H7" s="157" t="str">
        <f>+Headcount!H$5</f>
        <v>Jun</v>
      </c>
      <c r="I7" s="157" t="str">
        <f>+Headcount!I$5</f>
        <v>Jul</v>
      </c>
      <c r="J7" s="157" t="str">
        <f>+Headcount!J$5</f>
        <v>Aug</v>
      </c>
      <c r="K7" s="157" t="str">
        <f>+Headcount!K$5</f>
        <v>Sep</v>
      </c>
      <c r="L7" s="157" t="str">
        <f>+Headcount!L$5</f>
        <v>Oct</v>
      </c>
      <c r="M7" s="157" t="str">
        <f>+Headcount!M$5</f>
        <v>Nov</v>
      </c>
      <c r="N7" s="157" t="str">
        <f>+Headcount!N$5</f>
        <v>Dec</v>
      </c>
      <c r="O7" s="36" t="s">
        <v>1</v>
      </c>
      <c r="P7" s="609" t="s">
        <v>24</v>
      </c>
      <c r="Q7" s="38" t="s">
        <v>73</v>
      </c>
      <c r="R7" s="157" t="str">
        <f>+Headcount!R$5</f>
        <v>Jan</v>
      </c>
      <c r="S7" s="157" t="str">
        <f>+Headcount!S$5</f>
        <v>Feb</v>
      </c>
      <c r="T7" s="157" t="str">
        <f>+Headcount!T$5</f>
        <v>Mar</v>
      </c>
      <c r="U7" s="157" t="str">
        <f>+Headcount!U$5</f>
        <v>Apr</v>
      </c>
      <c r="V7" s="157" t="str">
        <f>+Headcount!V$5</f>
        <v>May</v>
      </c>
      <c r="W7" s="157" t="str">
        <f>+Headcount!W$5</f>
        <v>Jun</v>
      </c>
      <c r="X7" s="157" t="str">
        <f>+Headcount!X$5</f>
        <v>Jul</v>
      </c>
      <c r="Y7" s="157" t="str">
        <f>+Headcount!Y$5</f>
        <v>Aug</v>
      </c>
      <c r="Z7" s="157" t="str">
        <f>+Headcount!Z$5</f>
        <v>Sep</v>
      </c>
      <c r="AA7" s="157" t="str">
        <f>+Headcount!AA$5</f>
        <v>Oct</v>
      </c>
      <c r="AB7" s="157" t="str">
        <f>+Headcount!AB$5</f>
        <v>Nov</v>
      </c>
      <c r="AC7" s="157" t="str">
        <f>+Headcount!AC$5</f>
        <v>Dec</v>
      </c>
      <c r="AD7" s="36" t="s">
        <v>1</v>
      </c>
    </row>
    <row r="8" spans="1:29" ht="23.25">
      <c r="A8" s="20" t="s">
        <v>424</v>
      </c>
      <c r="B8" s="13"/>
      <c r="C8" s="31"/>
      <c r="D8" s="31"/>
      <c r="E8" s="31"/>
      <c r="F8" s="31"/>
      <c r="G8" s="31"/>
      <c r="H8" s="31"/>
      <c r="I8" s="31"/>
      <c r="J8" s="31"/>
      <c r="K8" s="31"/>
      <c r="L8" s="31"/>
      <c r="M8" s="31"/>
      <c r="N8" s="31"/>
      <c r="P8" s="20" t="str">
        <f>+A8</f>
        <v>COMPUTERS</v>
      </c>
      <c r="Q8" s="13"/>
      <c r="R8" s="197"/>
      <c r="S8" s="31"/>
      <c r="T8" s="31"/>
      <c r="U8" s="31"/>
      <c r="V8" s="31"/>
      <c r="W8" s="31"/>
      <c r="X8" s="31"/>
      <c r="Y8" s="31"/>
      <c r="Z8" s="31"/>
      <c r="AA8" s="31"/>
      <c r="AB8" s="31"/>
      <c r="AC8" s="31"/>
    </row>
    <row r="9" spans="1:30" ht="17.25" customHeight="1">
      <c r="A9" s="51"/>
      <c r="B9" s="13"/>
      <c r="C9" s="505">
        <v>2000</v>
      </c>
      <c r="D9" s="506" t="s">
        <v>444</v>
      </c>
      <c r="E9" s="86"/>
      <c r="F9" s="86"/>
      <c r="G9" s="86"/>
      <c r="H9" s="86"/>
      <c r="I9" s="86"/>
      <c r="J9" s="86"/>
      <c r="K9" s="86"/>
      <c r="L9" s="86"/>
      <c r="M9" s="86"/>
      <c r="N9" s="86"/>
      <c r="O9" s="61"/>
      <c r="P9" s="51"/>
      <c r="Q9" s="13"/>
      <c r="R9" s="505">
        <f>+C9</f>
        <v>2000</v>
      </c>
      <c r="S9" s="506" t="s">
        <v>444</v>
      </c>
      <c r="T9" s="86"/>
      <c r="U9" s="86"/>
      <c r="V9" s="86"/>
      <c r="W9" s="86"/>
      <c r="X9" s="86"/>
      <c r="Y9" s="86"/>
      <c r="Z9" s="86"/>
      <c r="AA9" s="86"/>
      <c r="AB9" s="86"/>
      <c r="AC9" s="86"/>
      <c r="AD9" s="61"/>
    </row>
    <row r="10" spans="1:30" ht="18">
      <c r="A10" t="s">
        <v>140</v>
      </c>
      <c r="B10" s="503" t="s">
        <v>48</v>
      </c>
      <c r="C10" s="52">
        <f>IF(Headcount!C21-Headcount!B21&gt;0,+((Headcount!C21-Headcount!B21)*Equipment!$C$9),0)</f>
        <v>0</v>
      </c>
      <c r="D10" s="52">
        <f>IF(Headcount!D21-Headcount!C21&gt;0,+((Headcount!D21-Headcount!C21)*Equipment!$C$9),0)</f>
        <v>0</v>
      </c>
      <c r="E10" s="52">
        <f>IF(Headcount!E21-Headcount!D21&gt;0,+((Headcount!E21-Headcount!D21)*Equipment!$C$9),0)</f>
        <v>0</v>
      </c>
      <c r="F10" s="52">
        <f>IF(Headcount!F21-Headcount!E21&gt;0,+((Headcount!F21-Headcount!E21)*Equipment!$C$9),0)</f>
        <v>0</v>
      </c>
      <c r="G10" s="52">
        <f>IF(Headcount!G21-Headcount!F21&gt;0,+((Headcount!G21-Headcount!F21)*Equipment!$C$9),0)</f>
        <v>0</v>
      </c>
      <c r="H10" s="52">
        <f>IF(Headcount!H21-Headcount!G21&gt;0,+((Headcount!H21-Headcount!G21)*Equipment!$C$9),0)</f>
        <v>0</v>
      </c>
      <c r="I10" s="52">
        <f>IF(Headcount!I21-Headcount!H21&gt;0,+((Headcount!I21-Headcount!H21)*Equipment!$C$9),0)</f>
        <v>0</v>
      </c>
      <c r="J10" s="52">
        <f>IF(Headcount!J21-Headcount!I21&gt;0,+((Headcount!J21-Headcount!I21)*Equipment!$C$9),0)</f>
        <v>0</v>
      </c>
      <c r="K10" s="52">
        <f>IF(Headcount!K21-Headcount!J21&gt;0,+((Headcount!K21-Headcount!J21)*Equipment!$C$9),0)</f>
        <v>0</v>
      </c>
      <c r="L10" s="52">
        <f>IF(Headcount!L21-Headcount!K21&gt;0,+((Headcount!L21-Headcount!K21)*Equipment!$C$9),0)</f>
        <v>0</v>
      </c>
      <c r="M10" s="52">
        <f>IF(Headcount!M21-Headcount!L21&gt;0,+((Headcount!M21-Headcount!L21)*Equipment!$C$9),0)</f>
        <v>0</v>
      </c>
      <c r="N10" s="52">
        <f>IF(Headcount!N21-Headcount!M21&gt;0,+((Headcount!N21-Headcount!M21)*Equipment!$C$9),0)</f>
        <v>0</v>
      </c>
      <c r="O10" s="295">
        <f>SUM(C10:N10)</f>
        <v>0</v>
      </c>
      <c r="P10" s="18" t="str">
        <f aca="true" t="shared" si="0" ref="P10:P16">IF(A10="","",+A10)</f>
        <v>New Hire Computers</v>
      </c>
      <c r="Q10" s="531" t="str">
        <f>+B10</f>
        <v>P</v>
      </c>
      <c r="R10" s="76">
        <f>IF(Headcount!R21-Headcount!N21&gt;0,+((Headcount!R21-Headcount!N21)*Equipment!$R$9),0)</f>
        <v>0</v>
      </c>
      <c r="S10" s="52">
        <f>IF(Headcount!S21-Headcount!R21&gt;0,+((Headcount!S21-Headcount!R21)*Equipment!$R$9),0)</f>
        <v>0</v>
      </c>
      <c r="T10" s="52">
        <f>IF(Headcount!T21-Headcount!S21&gt;0,+((Headcount!T21-Headcount!S21)*Equipment!$R$9),0)</f>
        <v>0</v>
      </c>
      <c r="U10" s="52">
        <f>IF(Headcount!U21-Headcount!T21&gt;0,+((Headcount!U21-Headcount!T21)*Equipment!$R$9),0)</f>
        <v>0</v>
      </c>
      <c r="V10" s="52">
        <f>IF(Headcount!V21-Headcount!U21&gt;0,+((Headcount!V21-Headcount!U21)*Equipment!$R$9),0)</f>
        <v>0</v>
      </c>
      <c r="W10" s="52">
        <f>IF(Headcount!W21-Headcount!V21&gt;0,+((Headcount!W21-Headcount!V21)*Equipment!$R$9),0)</f>
        <v>0</v>
      </c>
      <c r="X10" s="52">
        <f>IF(Headcount!X21-Headcount!W21&gt;0,+((Headcount!X21-Headcount!W21)*Equipment!$R$9),0)</f>
        <v>0</v>
      </c>
      <c r="Y10" s="52">
        <f>IF(Headcount!Y21-Headcount!X21&gt;0,+((Headcount!Y21-Headcount!X21)*Equipment!$R$9),0)</f>
        <v>0</v>
      </c>
      <c r="Z10" s="52">
        <f>IF(Headcount!Z21-Headcount!Y21&gt;0,+((Headcount!Z21-Headcount!Y21)*Equipment!$R$9),0)</f>
        <v>0</v>
      </c>
      <c r="AA10" s="52">
        <f>IF(Headcount!AA21-Headcount!Z21&gt;0,+((Headcount!AA21-Headcount!Z21)*Equipment!$R$9),0)</f>
        <v>0</v>
      </c>
      <c r="AB10" s="52">
        <f>IF(Headcount!AB21-Headcount!AA21&gt;0,+((Headcount!AB21-Headcount!AA21)*Equipment!$R$9),0)</f>
        <v>0</v>
      </c>
      <c r="AC10" s="52">
        <f>IF(Headcount!AC21-Headcount!AB21&gt;0,+((Headcount!AC21-Headcount!AB21)*Equipment!$R$9),0)</f>
        <v>0</v>
      </c>
      <c r="AD10" s="295">
        <f>SUM(R10:AC10)</f>
        <v>0</v>
      </c>
    </row>
    <row r="11" spans="1:30" ht="18">
      <c r="A11" s="74" t="s">
        <v>176</v>
      </c>
      <c r="B11" s="503" t="s">
        <v>48</v>
      </c>
      <c r="C11" s="72">
        <v>0</v>
      </c>
      <c r="D11" s="72">
        <v>0</v>
      </c>
      <c r="E11" s="72">
        <v>0</v>
      </c>
      <c r="F11" s="72">
        <v>0</v>
      </c>
      <c r="G11" s="72">
        <v>0</v>
      </c>
      <c r="H11" s="72">
        <v>0</v>
      </c>
      <c r="I11" s="72">
        <v>0</v>
      </c>
      <c r="J11" s="72">
        <v>0</v>
      </c>
      <c r="K11" s="72">
        <v>0</v>
      </c>
      <c r="L11" s="72">
        <v>0</v>
      </c>
      <c r="M11" s="72">
        <v>0</v>
      </c>
      <c r="N11" s="72">
        <v>0</v>
      </c>
      <c r="O11" s="295">
        <f aca="true" t="shared" si="1" ref="O11:O18">SUM(C11:N11)</f>
        <v>0</v>
      </c>
      <c r="P11" s="18" t="str">
        <f t="shared" si="0"/>
        <v>Servers</v>
      </c>
      <c r="Q11" s="531" t="str">
        <f aca="true" t="shared" si="2" ref="Q11:Q16">+B11</f>
        <v>P</v>
      </c>
      <c r="R11" s="293">
        <v>0</v>
      </c>
      <c r="S11" s="72">
        <v>0</v>
      </c>
      <c r="T11" s="72">
        <v>0</v>
      </c>
      <c r="U11" s="72">
        <v>0</v>
      </c>
      <c r="V11" s="72">
        <v>0</v>
      </c>
      <c r="W11" s="72">
        <v>0</v>
      </c>
      <c r="X11" s="72">
        <v>0</v>
      </c>
      <c r="Y11" s="72">
        <v>0</v>
      </c>
      <c r="Z11" s="72"/>
      <c r="AA11" s="72">
        <v>0</v>
      </c>
      <c r="AB11" s="72">
        <v>0</v>
      </c>
      <c r="AC11" s="294">
        <v>0</v>
      </c>
      <c r="AD11" s="295">
        <f aca="true" t="shared" si="3" ref="AD11:AD18">SUM(R11:AC11)</f>
        <v>0</v>
      </c>
    </row>
    <row r="12" spans="1:30" ht="18">
      <c r="A12" s="74" t="s">
        <v>177</v>
      </c>
      <c r="B12" s="503" t="s">
        <v>48</v>
      </c>
      <c r="C12" s="72">
        <v>0</v>
      </c>
      <c r="D12" s="72">
        <v>0</v>
      </c>
      <c r="E12" s="72">
        <v>0</v>
      </c>
      <c r="F12" s="72">
        <v>0</v>
      </c>
      <c r="G12" s="72">
        <v>0</v>
      </c>
      <c r="H12" s="72">
        <v>0</v>
      </c>
      <c r="I12" s="72">
        <v>0</v>
      </c>
      <c r="J12" s="72">
        <v>0</v>
      </c>
      <c r="K12" s="72">
        <v>0</v>
      </c>
      <c r="L12" s="72">
        <v>0</v>
      </c>
      <c r="M12" s="72">
        <v>0</v>
      </c>
      <c r="N12" s="72">
        <v>0</v>
      </c>
      <c r="O12" s="295">
        <f t="shared" si="1"/>
        <v>0</v>
      </c>
      <c r="P12" s="18" t="str">
        <f t="shared" si="0"/>
        <v>Databases</v>
      </c>
      <c r="Q12" s="531" t="str">
        <f t="shared" si="2"/>
        <v>P</v>
      </c>
      <c r="R12" s="293">
        <f>+N12</f>
        <v>0</v>
      </c>
      <c r="S12" s="72">
        <v>0</v>
      </c>
      <c r="T12" s="72">
        <v>0</v>
      </c>
      <c r="U12" s="72">
        <v>0</v>
      </c>
      <c r="V12" s="72">
        <v>0</v>
      </c>
      <c r="W12" s="72">
        <v>0</v>
      </c>
      <c r="X12" s="72">
        <v>0</v>
      </c>
      <c r="Y12" s="72">
        <v>0</v>
      </c>
      <c r="Z12" s="72">
        <v>0</v>
      </c>
      <c r="AA12" s="72">
        <v>0</v>
      </c>
      <c r="AB12" s="72">
        <v>0</v>
      </c>
      <c r="AC12" s="72">
        <v>0</v>
      </c>
      <c r="AD12" s="295">
        <f t="shared" si="3"/>
        <v>0</v>
      </c>
    </row>
    <row r="13" spans="1:30" ht="18">
      <c r="A13" s="74" t="s">
        <v>178</v>
      </c>
      <c r="B13" s="503" t="s">
        <v>48</v>
      </c>
      <c r="C13" s="72">
        <v>0</v>
      </c>
      <c r="D13" s="72">
        <v>0</v>
      </c>
      <c r="E13" s="72">
        <v>0</v>
      </c>
      <c r="F13" s="72">
        <v>0</v>
      </c>
      <c r="G13" s="72">
        <v>0</v>
      </c>
      <c r="H13" s="72">
        <v>0</v>
      </c>
      <c r="I13" s="72">
        <v>0</v>
      </c>
      <c r="J13" s="72">
        <v>0</v>
      </c>
      <c r="K13" s="72">
        <v>0</v>
      </c>
      <c r="L13" s="72">
        <v>0</v>
      </c>
      <c r="M13" s="72">
        <v>0</v>
      </c>
      <c r="N13" s="72">
        <v>0</v>
      </c>
      <c r="O13" s="295">
        <f t="shared" si="1"/>
        <v>0</v>
      </c>
      <c r="P13" s="18" t="str">
        <f t="shared" si="0"/>
        <v>Networking Equip</v>
      </c>
      <c r="Q13" s="531" t="str">
        <f t="shared" si="2"/>
        <v>P</v>
      </c>
      <c r="R13" s="293">
        <v>0</v>
      </c>
      <c r="S13" s="72">
        <v>0</v>
      </c>
      <c r="T13" s="72">
        <v>0</v>
      </c>
      <c r="U13" s="72">
        <v>0</v>
      </c>
      <c r="V13" s="72">
        <v>0</v>
      </c>
      <c r="W13" s="72">
        <v>0</v>
      </c>
      <c r="X13" s="72">
        <v>0</v>
      </c>
      <c r="Y13" s="72">
        <v>0</v>
      </c>
      <c r="Z13" s="72">
        <v>0</v>
      </c>
      <c r="AA13" s="72">
        <v>0</v>
      </c>
      <c r="AB13" s="72">
        <v>0</v>
      </c>
      <c r="AC13" s="294">
        <v>0</v>
      </c>
      <c r="AD13" s="295">
        <f t="shared" si="3"/>
        <v>0</v>
      </c>
    </row>
    <row r="14" spans="1:30" ht="18">
      <c r="A14" s="74" t="s">
        <v>179</v>
      </c>
      <c r="B14" s="503" t="s">
        <v>48</v>
      </c>
      <c r="C14" s="72">
        <v>0</v>
      </c>
      <c r="D14" s="72">
        <v>0</v>
      </c>
      <c r="E14" s="72">
        <v>0</v>
      </c>
      <c r="F14" s="72">
        <v>0</v>
      </c>
      <c r="G14" s="72">
        <v>0</v>
      </c>
      <c r="H14" s="72">
        <v>0</v>
      </c>
      <c r="I14" s="72">
        <v>0</v>
      </c>
      <c r="J14" s="72">
        <v>0</v>
      </c>
      <c r="K14" s="72">
        <v>0</v>
      </c>
      <c r="L14" s="72">
        <v>0</v>
      </c>
      <c r="M14" s="72">
        <v>0</v>
      </c>
      <c r="N14" s="72">
        <v>0</v>
      </c>
      <c r="O14" s="295">
        <f t="shared" si="1"/>
        <v>0</v>
      </c>
      <c r="P14" s="18" t="str">
        <f t="shared" si="0"/>
        <v>Printers</v>
      </c>
      <c r="Q14" s="531" t="str">
        <f t="shared" si="2"/>
        <v>P</v>
      </c>
      <c r="R14" s="293">
        <v>0</v>
      </c>
      <c r="S14" s="72">
        <v>0</v>
      </c>
      <c r="T14" s="72">
        <v>0</v>
      </c>
      <c r="U14" s="72">
        <v>0</v>
      </c>
      <c r="V14" s="72">
        <v>0</v>
      </c>
      <c r="W14" s="72">
        <v>0</v>
      </c>
      <c r="X14" s="72">
        <v>0</v>
      </c>
      <c r="Y14" s="72">
        <v>0</v>
      </c>
      <c r="Z14" s="72">
        <v>0</v>
      </c>
      <c r="AA14" s="72">
        <v>0</v>
      </c>
      <c r="AB14" s="72">
        <v>0</v>
      </c>
      <c r="AC14" s="294">
        <v>0</v>
      </c>
      <c r="AD14" s="295">
        <f t="shared" si="3"/>
        <v>0</v>
      </c>
    </row>
    <row r="15" spans="1:30" ht="18">
      <c r="A15" s="74" t="s">
        <v>166</v>
      </c>
      <c r="B15" s="503" t="s">
        <v>381</v>
      </c>
      <c r="C15" s="72">
        <v>0</v>
      </c>
      <c r="D15" s="72">
        <v>0</v>
      </c>
      <c r="E15" s="72">
        <v>0</v>
      </c>
      <c r="F15" s="72">
        <v>0</v>
      </c>
      <c r="G15" s="72">
        <v>0</v>
      </c>
      <c r="H15" s="72">
        <v>0</v>
      </c>
      <c r="I15" s="72">
        <v>0</v>
      </c>
      <c r="J15" s="72">
        <v>0</v>
      </c>
      <c r="K15" s="72">
        <v>0</v>
      </c>
      <c r="L15" s="72">
        <v>0</v>
      </c>
      <c r="M15" s="72">
        <v>0</v>
      </c>
      <c r="N15" s="72">
        <v>0</v>
      </c>
      <c r="O15" s="295">
        <f t="shared" si="1"/>
        <v>0</v>
      </c>
      <c r="P15" s="18" t="str">
        <f t="shared" si="0"/>
        <v>Miscellaneous</v>
      </c>
      <c r="Q15" s="531" t="str">
        <f t="shared" si="2"/>
        <v>L</v>
      </c>
      <c r="R15" s="293">
        <v>0</v>
      </c>
      <c r="S15" s="72">
        <v>0</v>
      </c>
      <c r="T15" s="72">
        <f aca="true" t="shared" si="4" ref="T15:AC15">+S15</f>
        <v>0</v>
      </c>
      <c r="U15" s="72">
        <v>0</v>
      </c>
      <c r="V15" s="72">
        <v>0</v>
      </c>
      <c r="W15" s="72">
        <f t="shared" si="4"/>
        <v>0</v>
      </c>
      <c r="X15" s="72">
        <v>0</v>
      </c>
      <c r="Y15" s="72">
        <v>0</v>
      </c>
      <c r="Z15" s="72">
        <f t="shared" si="4"/>
        <v>0</v>
      </c>
      <c r="AA15" s="72">
        <v>0</v>
      </c>
      <c r="AB15" s="72">
        <f t="shared" si="4"/>
        <v>0</v>
      </c>
      <c r="AC15" s="294">
        <f t="shared" si="4"/>
        <v>0</v>
      </c>
      <c r="AD15" s="295">
        <f t="shared" si="3"/>
        <v>0</v>
      </c>
    </row>
    <row r="16" spans="1:30" ht="18">
      <c r="A16" s="75" t="s">
        <v>440</v>
      </c>
      <c r="B16" s="504" t="s">
        <v>48</v>
      </c>
      <c r="C16" s="453">
        <v>0</v>
      </c>
      <c r="D16" s="454">
        <f>+C16</f>
        <v>0</v>
      </c>
      <c r="E16" s="454">
        <f>+D16</f>
        <v>0</v>
      </c>
      <c r="F16" s="454">
        <f>+E16</f>
        <v>0</v>
      </c>
      <c r="G16" s="454">
        <f>+F16</f>
        <v>0</v>
      </c>
      <c r="H16" s="454">
        <f>+G16</f>
        <v>0</v>
      </c>
      <c r="I16" s="454">
        <f aca="true" t="shared" si="5" ref="I16:N16">+H16</f>
        <v>0</v>
      </c>
      <c r="J16" s="454">
        <f>+I16</f>
        <v>0</v>
      </c>
      <c r="K16" s="454">
        <f t="shared" si="5"/>
        <v>0</v>
      </c>
      <c r="L16" s="454">
        <f t="shared" si="5"/>
        <v>0</v>
      </c>
      <c r="M16" s="454">
        <f t="shared" si="5"/>
        <v>0</v>
      </c>
      <c r="N16" s="454">
        <f t="shared" si="5"/>
        <v>0</v>
      </c>
      <c r="O16" s="79">
        <f t="shared" si="1"/>
        <v>0</v>
      </c>
      <c r="P16" s="57" t="str">
        <f t="shared" si="0"/>
        <v>Undefined</v>
      </c>
      <c r="Q16" s="532" t="str">
        <f t="shared" si="2"/>
        <v>P</v>
      </c>
      <c r="R16" s="453">
        <f>+N16</f>
        <v>0</v>
      </c>
      <c r="S16" s="454">
        <f>+R16</f>
        <v>0</v>
      </c>
      <c r="T16" s="454">
        <f aca="true" t="shared" si="6" ref="T16:AC16">+S16</f>
        <v>0</v>
      </c>
      <c r="U16" s="454">
        <f t="shared" si="6"/>
        <v>0</v>
      </c>
      <c r="V16" s="454">
        <f t="shared" si="6"/>
        <v>0</v>
      </c>
      <c r="W16" s="454">
        <f t="shared" si="6"/>
        <v>0</v>
      </c>
      <c r="X16" s="454">
        <f t="shared" si="6"/>
        <v>0</v>
      </c>
      <c r="Y16" s="454">
        <f t="shared" si="6"/>
        <v>0</v>
      </c>
      <c r="Z16" s="454">
        <f t="shared" si="6"/>
        <v>0</v>
      </c>
      <c r="AA16" s="454">
        <f t="shared" si="6"/>
        <v>0</v>
      </c>
      <c r="AB16" s="454">
        <f t="shared" si="6"/>
        <v>0</v>
      </c>
      <c r="AC16" s="454">
        <f t="shared" si="6"/>
        <v>0</v>
      </c>
      <c r="AD16" s="79">
        <f t="shared" si="3"/>
        <v>0</v>
      </c>
    </row>
    <row r="17" spans="1:30" ht="18">
      <c r="A17" t="s">
        <v>50</v>
      </c>
      <c r="B17" s="463"/>
      <c r="C17" s="53">
        <f>IF($B10="P",C10,0)+IF($B11="P",C11,0)+IF($B12="P",C12,0)+IF($B13="P",C13,0)+IF($B14="P",C14,0)+IF($B15="P",C15,0)+IF($B16="P",C16,0)</f>
        <v>0</v>
      </c>
      <c r="D17" s="54">
        <f aca="true" t="shared" si="7" ref="D17:N17">IF($B10="P",D10,0)+IF($B11="P",D11,0)+IF($B12="P",D12,0)+IF($B13="P",D13,0)+IF($B14="P",D14,0)+IF($B15="P",D15,0)+IF($B16="P",D16,0)</f>
        <v>0</v>
      </c>
      <c r="E17" s="54">
        <f t="shared" si="7"/>
        <v>0</v>
      </c>
      <c r="F17" s="54">
        <f t="shared" si="7"/>
        <v>0</v>
      </c>
      <c r="G17" s="54">
        <f t="shared" si="7"/>
        <v>0</v>
      </c>
      <c r="H17" s="54">
        <f t="shared" si="7"/>
        <v>0</v>
      </c>
      <c r="I17" s="54">
        <f t="shared" si="7"/>
        <v>0</v>
      </c>
      <c r="J17" s="54">
        <f t="shared" si="7"/>
        <v>0</v>
      </c>
      <c r="K17" s="54">
        <f t="shared" si="7"/>
        <v>0</v>
      </c>
      <c r="L17" s="54">
        <f t="shared" si="7"/>
        <v>0</v>
      </c>
      <c r="M17" s="54">
        <f t="shared" si="7"/>
        <v>0</v>
      </c>
      <c r="N17" s="55">
        <f t="shared" si="7"/>
        <v>0</v>
      </c>
      <c r="O17" s="295">
        <f t="shared" si="1"/>
        <v>0</v>
      </c>
      <c r="P17" t="str">
        <f>+A17</f>
        <v>Total Computer Equipment Purchased</v>
      </c>
      <c r="Q17" s="302"/>
      <c r="R17" s="53">
        <f aca="true" t="shared" si="8" ref="R17:AC17">IF($B10="P",R10,0)+IF($B11="P",R11,0)+IF($B12="P",R12,0)+IF($B13="P",R13,0)+IF($B14="P",R14,0)+IF($B15="P",R15,0)+IF($B16="P",R16,0)</f>
        <v>0</v>
      </c>
      <c r="S17" s="54">
        <f t="shared" si="8"/>
        <v>0</v>
      </c>
      <c r="T17" s="54">
        <f t="shared" si="8"/>
        <v>0</v>
      </c>
      <c r="U17" s="54">
        <f t="shared" si="8"/>
        <v>0</v>
      </c>
      <c r="V17" s="54">
        <f t="shared" si="8"/>
        <v>0</v>
      </c>
      <c r="W17" s="54">
        <f t="shared" si="8"/>
        <v>0</v>
      </c>
      <c r="X17" s="54">
        <f t="shared" si="8"/>
        <v>0</v>
      </c>
      <c r="Y17" s="54">
        <f t="shared" si="8"/>
        <v>0</v>
      </c>
      <c r="Z17" s="54">
        <f t="shared" si="8"/>
        <v>0</v>
      </c>
      <c r="AA17" s="54">
        <f t="shared" si="8"/>
        <v>0</v>
      </c>
      <c r="AB17" s="54">
        <f t="shared" si="8"/>
        <v>0</v>
      </c>
      <c r="AC17" s="55">
        <f t="shared" si="8"/>
        <v>0</v>
      </c>
      <c r="AD17" s="52">
        <f t="shared" si="3"/>
        <v>0</v>
      </c>
    </row>
    <row r="18" spans="1:30" ht="18">
      <c r="A18" t="s">
        <v>51</v>
      </c>
      <c r="B18" s="110"/>
      <c r="C18" s="53">
        <f>IF($B10="L",C10,0)+IF($B11="L",C11,0)+IF($B12="L",C12,0)+IF($B13="L",C13,0)+IF($B14="L",C14,0)+IF($B15="L",C15,0)+IF($B16="L",C16,0)</f>
        <v>0</v>
      </c>
      <c r="D18" s="54">
        <f aca="true" t="shared" si="9" ref="D18:N18">IF($B10="L",D10,0)+IF($B11="L",D11,0)+IF($B12="L",D12,0)+IF($B13="L",D13,0)+IF($B14="L",D14,0)+IF($B15="L",D15,0)+IF($B16="L",D16,0)</f>
        <v>0</v>
      </c>
      <c r="E18" s="54">
        <f t="shared" si="9"/>
        <v>0</v>
      </c>
      <c r="F18" s="54">
        <f t="shared" si="9"/>
        <v>0</v>
      </c>
      <c r="G18" s="54">
        <f t="shared" si="9"/>
        <v>0</v>
      </c>
      <c r="H18" s="54">
        <f t="shared" si="9"/>
        <v>0</v>
      </c>
      <c r="I18" s="54">
        <f t="shared" si="9"/>
        <v>0</v>
      </c>
      <c r="J18" s="54">
        <f t="shared" si="9"/>
        <v>0</v>
      </c>
      <c r="K18" s="54">
        <f t="shared" si="9"/>
        <v>0</v>
      </c>
      <c r="L18" s="54">
        <f t="shared" si="9"/>
        <v>0</v>
      </c>
      <c r="M18" s="54">
        <f t="shared" si="9"/>
        <v>0</v>
      </c>
      <c r="N18" s="55">
        <f t="shared" si="9"/>
        <v>0</v>
      </c>
      <c r="O18" s="295">
        <f t="shared" si="1"/>
        <v>0</v>
      </c>
      <c r="P18" t="str">
        <f>+A18</f>
        <v>Total Computer Equipment Leased</v>
      </c>
      <c r="Q18" s="18"/>
      <c r="R18" s="79">
        <f>IF($B10="L",R10,0)+IF($B11="L",R11,0)+IF($B12="L",R12,0)+IF($B13="L",R13,0)+IF($B14="L",R14,0)+IF($B15="L",R15,0)+IF($B16="L",R16,0)</f>
        <v>0</v>
      </c>
      <c r="S18" s="71">
        <f aca="true" t="shared" si="10" ref="S18:AC18">IF($B10="L",S10,0)+IF($B11="L",S11,0)+IF($B12="L",S12,0)+IF($B13="L",S13,0)+IF($B14="L",S14,0)+IF($B15="L",S15,0)+IF($B16="L",S16,0)</f>
        <v>0</v>
      </c>
      <c r="T18" s="71">
        <f t="shared" si="10"/>
        <v>0</v>
      </c>
      <c r="U18" s="71">
        <f t="shared" si="10"/>
        <v>0</v>
      </c>
      <c r="V18" s="71">
        <f t="shared" si="10"/>
        <v>0</v>
      </c>
      <c r="W18" s="71">
        <f t="shared" si="10"/>
        <v>0</v>
      </c>
      <c r="X18" s="71">
        <f t="shared" si="10"/>
        <v>0</v>
      </c>
      <c r="Y18" s="71">
        <f t="shared" si="10"/>
        <v>0</v>
      </c>
      <c r="Z18" s="71">
        <f t="shared" si="10"/>
        <v>0</v>
      </c>
      <c r="AA18" s="71">
        <f t="shared" si="10"/>
        <v>0</v>
      </c>
      <c r="AB18" s="71">
        <f t="shared" si="10"/>
        <v>0</v>
      </c>
      <c r="AC18" s="80">
        <f t="shared" si="10"/>
        <v>0</v>
      </c>
      <c r="AD18" s="52">
        <f t="shared" si="3"/>
        <v>0</v>
      </c>
    </row>
    <row r="19" spans="3:30" ht="18">
      <c r="C19" s="52"/>
      <c r="D19" s="52"/>
      <c r="E19" s="52"/>
      <c r="F19" s="52"/>
      <c r="G19" s="52"/>
      <c r="H19" s="52"/>
      <c r="I19" s="52"/>
      <c r="J19" s="52"/>
      <c r="K19" s="52"/>
      <c r="L19" s="52"/>
      <c r="M19" s="52"/>
      <c r="N19" s="52"/>
      <c r="O19" s="52"/>
      <c r="Q19" s="18"/>
      <c r="R19" s="52"/>
      <c r="S19" s="52"/>
      <c r="T19" s="52"/>
      <c r="U19" s="52"/>
      <c r="V19" s="52"/>
      <c r="W19" s="52"/>
      <c r="X19" s="52"/>
      <c r="Y19" s="52"/>
      <c r="Z19" s="52"/>
      <c r="AA19" s="52"/>
      <c r="AB19" s="52"/>
      <c r="AC19" s="52"/>
      <c r="AD19" s="52"/>
    </row>
    <row r="20" spans="3:30" ht="18">
      <c r="C20" s="52"/>
      <c r="D20" s="52"/>
      <c r="E20" s="52"/>
      <c r="F20" s="52"/>
      <c r="G20" s="52"/>
      <c r="H20" s="52"/>
      <c r="I20" s="52"/>
      <c r="J20" s="52"/>
      <c r="K20" s="52"/>
      <c r="L20" s="52"/>
      <c r="M20" s="52"/>
      <c r="N20" s="52"/>
      <c r="O20" s="52"/>
      <c r="Q20" s="18"/>
      <c r="R20" s="52"/>
      <c r="S20" s="52"/>
      <c r="T20" s="52"/>
      <c r="U20" s="52"/>
      <c r="V20" s="52"/>
      <c r="W20" s="52"/>
      <c r="X20" s="52"/>
      <c r="Y20" s="52"/>
      <c r="Z20" s="52"/>
      <c r="AA20" s="52"/>
      <c r="AB20" s="52"/>
      <c r="AC20" s="52"/>
      <c r="AD20" s="52"/>
    </row>
    <row r="21" spans="1:30" ht="18">
      <c r="A21" s="18"/>
      <c r="B21" s="37"/>
      <c r="P21" s="18"/>
      <c r="Q21" s="37"/>
      <c r="R21" s="521"/>
      <c r="S21" s="521"/>
      <c r="T21" s="521"/>
      <c r="U21" s="521"/>
      <c r="V21" s="521"/>
      <c r="W21" s="521"/>
      <c r="X21" s="521"/>
      <c r="Y21" s="521"/>
      <c r="Z21" s="521"/>
      <c r="AA21" s="521"/>
      <c r="AB21" s="521"/>
      <c r="AC21" s="521"/>
      <c r="AD21" s="13"/>
    </row>
    <row r="22" spans="1:30" ht="18">
      <c r="A22" s="519"/>
      <c r="B22" s="520"/>
      <c r="C22" s="13"/>
      <c r="D22" s="13"/>
      <c r="E22" s="13"/>
      <c r="F22" s="13"/>
      <c r="G22" s="13"/>
      <c r="H22" s="13"/>
      <c r="I22" s="13"/>
      <c r="J22" s="13"/>
      <c r="K22" s="13"/>
      <c r="L22" s="13"/>
      <c r="M22" s="13"/>
      <c r="N22" s="13"/>
      <c r="P22" s="519"/>
      <c r="Q22" s="520"/>
      <c r="R22" s="522"/>
      <c r="S22" s="522"/>
      <c r="T22" s="522"/>
      <c r="U22" s="522"/>
      <c r="V22" s="522"/>
      <c r="W22" s="522"/>
      <c r="X22" s="522"/>
      <c r="Y22" s="522"/>
      <c r="Z22" s="522"/>
      <c r="AA22" s="522"/>
      <c r="AB22" s="522"/>
      <c r="AC22" s="522"/>
      <c r="AD22" s="523"/>
    </row>
    <row r="23" spans="1:29" ht="23.25">
      <c r="A23" s="20" t="s">
        <v>425</v>
      </c>
      <c r="B23" s="13"/>
      <c r="C23" s="510"/>
      <c r="D23" s="510"/>
      <c r="E23" s="510"/>
      <c r="F23" s="510"/>
      <c r="G23" s="510"/>
      <c r="H23" s="510"/>
      <c r="I23" s="510"/>
      <c r="J23" s="510"/>
      <c r="K23" s="510"/>
      <c r="L23" s="510"/>
      <c r="M23" s="510"/>
      <c r="N23" s="510"/>
      <c r="P23" s="484" t="str">
        <f>+A23</f>
        <v>FURNITURE &amp; FIXTURES</v>
      </c>
      <c r="Q23" s="30"/>
      <c r="R23" s="510"/>
      <c r="S23" s="510"/>
      <c r="T23" s="510"/>
      <c r="U23" s="510"/>
      <c r="V23" s="510"/>
      <c r="W23" s="510"/>
      <c r="X23" s="510"/>
      <c r="Y23" s="510"/>
      <c r="Z23" s="510"/>
      <c r="AA23" s="510"/>
      <c r="AB23" s="510"/>
      <c r="AC23" s="510"/>
    </row>
    <row r="24" spans="1:30" ht="18">
      <c r="A24" s="74" t="s">
        <v>172</v>
      </c>
      <c r="B24" s="503" t="s">
        <v>48</v>
      </c>
      <c r="C24" s="72">
        <v>0</v>
      </c>
      <c r="D24" s="72">
        <v>0</v>
      </c>
      <c r="E24" s="72">
        <v>0</v>
      </c>
      <c r="F24" s="72">
        <v>0</v>
      </c>
      <c r="G24" s="72">
        <v>0</v>
      </c>
      <c r="H24" s="72">
        <v>0</v>
      </c>
      <c r="I24" s="72">
        <v>0</v>
      </c>
      <c r="J24" s="72">
        <v>0</v>
      </c>
      <c r="K24" s="72">
        <v>0</v>
      </c>
      <c r="L24" s="72">
        <v>0</v>
      </c>
      <c r="M24" s="72">
        <v>0</v>
      </c>
      <c r="N24" s="72">
        <v>0</v>
      </c>
      <c r="O24" s="295">
        <f aca="true" t="shared" si="11" ref="O24:O39">SUM(C24:N24)</f>
        <v>0</v>
      </c>
      <c r="P24" s="18" t="str">
        <f>IF(A24="","",+A24)</f>
        <v>Signage</v>
      </c>
      <c r="Q24" s="533" t="str">
        <f>+B24</f>
        <v>P</v>
      </c>
      <c r="R24" s="72">
        <v>0</v>
      </c>
      <c r="S24" s="72">
        <v>0</v>
      </c>
      <c r="T24" s="72">
        <v>0</v>
      </c>
      <c r="U24" s="72">
        <v>0</v>
      </c>
      <c r="V24" s="72">
        <v>0</v>
      </c>
      <c r="W24" s="72">
        <v>0</v>
      </c>
      <c r="X24" s="72">
        <v>0</v>
      </c>
      <c r="Y24" s="72">
        <v>0</v>
      </c>
      <c r="Z24" s="72">
        <v>0</v>
      </c>
      <c r="AA24" s="72">
        <v>0</v>
      </c>
      <c r="AB24" s="72">
        <v>0</v>
      </c>
      <c r="AC24" s="72">
        <v>0</v>
      </c>
      <c r="AD24" s="295">
        <f aca="true" t="shared" si="12" ref="AD24:AD39">SUM(R24:AC24)</f>
        <v>0</v>
      </c>
    </row>
    <row r="25" spans="1:30" ht="18">
      <c r="A25" s="74" t="s">
        <v>169</v>
      </c>
      <c r="B25" s="503" t="s">
        <v>48</v>
      </c>
      <c r="C25" s="72">
        <v>0</v>
      </c>
      <c r="D25" s="72">
        <v>0</v>
      </c>
      <c r="E25" s="72">
        <v>0</v>
      </c>
      <c r="F25" s="72">
        <v>0</v>
      </c>
      <c r="G25" s="72">
        <v>0</v>
      </c>
      <c r="H25" s="72">
        <v>0</v>
      </c>
      <c r="I25" s="72">
        <v>0</v>
      </c>
      <c r="J25" s="72">
        <v>0</v>
      </c>
      <c r="K25" s="72">
        <v>0</v>
      </c>
      <c r="L25" s="72">
        <v>0</v>
      </c>
      <c r="M25" s="72">
        <v>0</v>
      </c>
      <c r="N25" s="72">
        <v>0</v>
      </c>
      <c r="O25" s="295">
        <f t="shared" si="11"/>
        <v>0</v>
      </c>
      <c r="P25" s="18" t="str">
        <f aca="true" t="shared" si="13" ref="P25:P39">IF(A25="","",+A25)</f>
        <v>Phone System</v>
      </c>
      <c r="Q25" s="533" t="str">
        <f aca="true" t="shared" si="14" ref="Q25:Q39">+B25</f>
        <v>P</v>
      </c>
      <c r="R25" s="72">
        <v>0</v>
      </c>
      <c r="S25" s="72">
        <v>0</v>
      </c>
      <c r="T25" s="72">
        <v>0</v>
      </c>
      <c r="U25" s="72">
        <v>0</v>
      </c>
      <c r="V25" s="72">
        <v>0</v>
      </c>
      <c r="W25" s="72">
        <v>0</v>
      </c>
      <c r="X25" s="72">
        <v>0</v>
      </c>
      <c r="Y25" s="72">
        <v>0</v>
      </c>
      <c r="Z25" s="72">
        <v>0</v>
      </c>
      <c r="AA25" s="72">
        <v>0</v>
      </c>
      <c r="AB25" s="72">
        <v>0</v>
      </c>
      <c r="AC25" s="72">
        <v>0</v>
      </c>
      <c r="AD25" s="295">
        <f t="shared" si="12"/>
        <v>0</v>
      </c>
    </row>
    <row r="26" spans="1:30" ht="18">
      <c r="A26" s="74" t="s">
        <v>168</v>
      </c>
      <c r="B26" s="503" t="s">
        <v>48</v>
      </c>
      <c r="C26" s="72">
        <v>0</v>
      </c>
      <c r="D26" s="72">
        <v>0</v>
      </c>
      <c r="E26" s="72">
        <v>0</v>
      </c>
      <c r="F26" s="72">
        <v>0</v>
      </c>
      <c r="G26" s="72">
        <v>0</v>
      </c>
      <c r="H26" s="72">
        <v>0</v>
      </c>
      <c r="I26" s="72">
        <v>0</v>
      </c>
      <c r="J26" s="72">
        <v>0</v>
      </c>
      <c r="K26" s="72">
        <v>0</v>
      </c>
      <c r="L26" s="72">
        <v>0</v>
      </c>
      <c r="M26" s="72">
        <v>0</v>
      </c>
      <c r="N26" s="72">
        <v>0</v>
      </c>
      <c r="O26" s="295">
        <f t="shared" si="11"/>
        <v>0</v>
      </c>
      <c r="P26" s="18" t="str">
        <f t="shared" si="13"/>
        <v>Fax Machine</v>
      </c>
      <c r="Q26" s="533" t="str">
        <f t="shared" si="14"/>
        <v>P</v>
      </c>
      <c r="R26" s="72">
        <v>0</v>
      </c>
      <c r="S26" s="72">
        <v>0</v>
      </c>
      <c r="T26" s="72">
        <v>0</v>
      </c>
      <c r="U26" s="72">
        <v>0</v>
      </c>
      <c r="V26" s="72">
        <v>0</v>
      </c>
      <c r="W26" s="72">
        <v>0</v>
      </c>
      <c r="X26" s="72">
        <v>0</v>
      </c>
      <c r="Y26" s="72">
        <v>0</v>
      </c>
      <c r="Z26" s="72">
        <v>0</v>
      </c>
      <c r="AA26" s="72">
        <v>0</v>
      </c>
      <c r="AB26" s="72">
        <v>0</v>
      </c>
      <c r="AC26" s="72">
        <v>0</v>
      </c>
      <c r="AD26" s="295">
        <f t="shared" si="12"/>
        <v>0</v>
      </c>
    </row>
    <row r="27" spans="1:30" ht="18">
      <c r="A27" s="74" t="s">
        <v>170</v>
      </c>
      <c r="B27" s="503" t="s">
        <v>48</v>
      </c>
      <c r="C27" s="72">
        <v>0</v>
      </c>
      <c r="D27" s="72">
        <v>0</v>
      </c>
      <c r="E27" s="72">
        <v>0</v>
      </c>
      <c r="F27" s="72">
        <v>0</v>
      </c>
      <c r="G27" s="72">
        <v>0</v>
      </c>
      <c r="H27" s="72">
        <v>0</v>
      </c>
      <c r="I27" s="72">
        <v>0</v>
      </c>
      <c r="J27" s="72">
        <v>0</v>
      </c>
      <c r="K27" s="72">
        <v>0</v>
      </c>
      <c r="L27" s="72">
        <v>0</v>
      </c>
      <c r="M27" s="72">
        <v>0</v>
      </c>
      <c r="N27" s="72">
        <v>0</v>
      </c>
      <c r="O27" s="295">
        <f t="shared" si="11"/>
        <v>0</v>
      </c>
      <c r="P27" s="18" t="str">
        <f t="shared" si="13"/>
        <v>Office Furniture</v>
      </c>
      <c r="Q27" s="533" t="str">
        <f t="shared" si="14"/>
        <v>P</v>
      </c>
      <c r="R27" s="72">
        <v>0</v>
      </c>
      <c r="S27" s="72">
        <v>0</v>
      </c>
      <c r="T27" s="72">
        <v>0</v>
      </c>
      <c r="U27" s="72">
        <v>0</v>
      </c>
      <c r="V27" s="72">
        <v>0</v>
      </c>
      <c r="W27" s="72">
        <v>0</v>
      </c>
      <c r="X27" s="72">
        <v>0</v>
      </c>
      <c r="Y27" s="72">
        <v>0</v>
      </c>
      <c r="Z27" s="72">
        <v>0</v>
      </c>
      <c r="AA27" s="72">
        <v>0</v>
      </c>
      <c r="AB27" s="72">
        <v>0</v>
      </c>
      <c r="AC27" s="72">
        <v>0</v>
      </c>
      <c r="AD27" s="295">
        <f t="shared" si="12"/>
        <v>0</v>
      </c>
    </row>
    <row r="28" spans="1:30" ht="18">
      <c r="A28" s="74" t="s">
        <v>171</v>
      </c>
      <c r="B28" s="503" t="s">
        <v>48</v>
      </c>
      <c r="C28" s="72">
        <v>0</v>
      </c>
      <c r="D28" s="72">
        <v>0</v>
      </c>
      <c r="E28" s="72">
        <v>0</v>
      </c>
      <c r="F28" s="72">
        <v>0</v>
      </c>
      <c r="G28" s="72">
        <v>0</v>
      </c>
      <c r="H28" s="72">
        <v>0</v>
      </c>
      <c r="I28" s="72">
        <v>0</v>
      </c>
      <c r="J28" s="72">
        <v>0</v>
      </c>
      <c r="K28" s="72">
        <v>0</v>
      </c>
      <c r="L28" s="72">
        <v>0</v>
      </c>
      <c r="M28" s="72">
        <v>0</v>
      </c>
      <c r="N28" s="72">
        <v>0</v>
      </c>
      <c r="O28" s="295">
        <f t="shared" si="11"/>
        <v>0</v>
      </c>
      <c r="P28" s="18" t="str">
        <f t="shared" si="13"/>
        <v>Wall Art</v>
      </c>
      <c r="Q28" s="533" t="str">
        <f t="shared" si="14"/>
        <v>P</v>
      </c>
      <c r="R28" s="72">
        <v>0</v>
      </c>
      <c r="S28" s="72">
        <v>0</v>
      </c>
      <c r="T28" s="72">
        <v>0</v>
      </c>
      <c r="U28" s="72">
        <v>0</v>
      </c>
      <c r="V28" s="72">
        <v>0</v>
      </c>
      <c r="W28" s="72">
        <v>0</v>
      </c>
      <c r="X28" s="72">
        <v>0</v>
      </c>
      <c r="Y28" s="72">
        <v>0</v>
      </c>
      <c r="Z28" s="72">
        <v>0</v>
      </c>
      <c r="AA28" s="72">
        <v>0</v>
      </c>
      <c r="AB28" s="72">
        <v>0</v>
      </c>
      <c r="AC28" s="72">
        <v>0</v>
      </c>
      <c r="AD28" s="295">
        <f t="shared" si="12"/>
        <v>0</v>
      </c>
    </row>
    <row r="29" spans="1:30" ht="18">
      <c r="A29" s="74" t="s">
        <v>173</v>
      </c>
      <c r="B29" s="503" t="s">
        <v>48</v>
      </c>
      <c r="C29" s="72">
        <v>0</v>
      </c>
      <c r="D29" s="72">
        <v>0</v>
      </c>
      <c r="E29" s="72">
        <v>0</v>
      </c>
      <c r="F29" s="72">
        <v>0</v>
      </c>
      <c r="G29" s="72">
        <v>0</v>
      </c>
      <c r="H29" s="72">
        <v>0</v>
      </c>
      <c r="I29" s="72">
        <v>0</v>
      </c>
      <c r="J29" s="72">
        <v>0</v>
      </c>
      <c r="K29" s="72">
        <v>0</v>
      </c>
      <c r="L29" s="72">
        <v>0</v>
      </c>
      <c r="M29" s="72">
        <v>0</v>
      </c>
      <c r="N29" s="72">
        <v>0</v>
      </c>
      <c r="O29" s="295">
        <f t="shared" si="11"/>
        <v>0</v>
      </c>
      <c r="P29" s="18" t="str">
        <f t="shared" si="13"/>
        <v>Conference Room</v>
      </c>
      <c r="Q29" s="533" t="str">
        <f t="shared" si="14"/>
        <v>P</v>
      </c>
      <c r="R29" s="72">
        <v>0</v>
      </c>
      <c r="S29" s="72">
        <v>0</v>
      </c>
      <c r="T29" s="72">
        <v>0</v>
      </c>
      <c r="U29" s="72">
        <v>0</v>
      </c>
      <c r="V29" s="72">
        <v>0</v>
      </c>
      <c r="W29" s="72">
        <v>0</v>
      </c>
      <c r="X29" s="72">
        <v>0</v>
      </c>
      <c r="Y29" s="72">
        <v>0</v>
      </c>
      <c r="Z29" s="72">
        <v>0</v>
      </c>
      <c r="AA29" s="72">
        <v>0</v>
      </c>
      <c r="AB29" s="72">
        <v>0</v>
      </c>
      <c r="AC29" s="72">
        <v>0</v>
      </c>
      <c r="AD29" s="295">
        <f t="shared" si="12"/>
        <v>0</v>
      </c>
    </row>
    <row r="30" spans="1:30" ht="18">
      <c r="A30" s="74" t="s">
        <v>167</v>
      </c>
      <c r="B30" s="503" t="s">
        <v>381</v>
      </c>
      <c r="C30" s="72">
        <v>0</v>
      </c>
      <c r="D30" s="72">
        <v>0</v>
      </c>
      <c r="E30" s="72">
        <v>0</v>
      </c>
      <c r="F30" s="72">
        <v>0</v>
      </c>
      <c r="G30" s="72">
        <v>0</v>
      </c>
      <c r="H30" s="72">
        <v>0</v>
      </c>
      <c r="I30" s="72">
        <v>0</v>
      </c>
      <c r="J30" s="72">
        <v>0</v>
      </c>
      <c r="K30" s="72">
        <v>0</v>
      </c>
      <c r="L30" s="72">
        <v>0</v>
      </c>
      <c r="M30" s="72">
        <v>0</v>
      </c>
      <c r="N30" s="72">
        <v>0</v>
      </c>
      <c r="O30" s="295">
        <f t="shared" si="11"/>
        <v>0</v>
      </c>
      <c r="P30" s="18" t="str">
        <f t="shared" si="13"/>
        <v>Photocopier</v>
      </c>
      <c r="Q30" s="533" t="str">
        <f t="shared" si="14"/>
        <v>L</v>
      </c>
      <c r="R30" s="72">
        <v>0</v>
      </c>
      <c r="S30" s="72">
        <v>0</v>
      </c>
      <c r="T30" s="72">
        <v>0</v>
      </c>
      <c r="U30" s="72">
        <v>0</v>
      </c>
      <c r="V30" s="72">
        <v>0</v>
      </c>
      <c r="W30" s="72">
        <v>0</v>
      </c>
      <c r="X30" s="72">
        <v>0</v>
      </c>
      <c r="Y30" s="72">
        <v>0</v>
      </c>
      <c r="Z30" s="72">
        <v>0</v>
      </c>
      <c r="AA30" s="72">
        <v>0</v>
      </c>
      <c r="AB30" s="72">
        <v>0</v>
      </c>
      <c r="AC30" s="72">
        <v>0</v>
      </c>
      <c r="AD30" s="295">
        <f t="shared" si="12"/>
        <v>0</v>
      </c>
    </row>
    <row r="31" spans="1:30" ht="18">
      <c r="A31" s="74" t="s">
        <v>391</v>
      </c>
      <c r="B31" s="503" t="s">
        <v>48</v>
      </c>
      <c r="C31" s="72">
        <v>0</v>
      </c>
      <c r="D31" s="72">
        <v>0</v>
      </c>
      <c r="E31" s="72">
        <v>0</v>
      </c>
      <c r="F31" s="72">
        <v>0</v>
      </c>
      <c r="G31" s="72">
        <v>0</v>
      </c>
      <c r="H31" s="72">
        <v>0</v>
      </c>
      <c r="I31" s="72">
        <v>0</v>
      </c>
      <c r="J31" s="72">
        <v>0</v>
      </c>
      <c r="K31" s="72">
        <v>0</v>
      </c>
      <c r="L31" s="72">
        <v>0</v>
      </c>
      <c r="M31" s="72">
        <v>0</v>
      </c>
      <c r="N31" s="72">
        <v>0</v>
      </c>
      <c r="O31" s="295">
        <f t="shared" si="11"/>
        <v>0</v>
      </c>
      <c r="P31" s="18" t="str">
        <f t="shared" si="13"/>
        <v>Trade Show Booth(s)</v>
      </c>
      <c r="Q31" s="533" t="str">
        <f t="shared" si="14"/>
        <v>P</v>
      </c>
      <c r="R31" s="72">
        <v>0</v>
      </c>
      <c r="S31" s="72">
        <v>0</v>
      </c>
      <c r="T31" s="72">
        <v>0</v>
      </c>
      <c r="U31" s="72">
        <v>0</v>
      </c>
      <c r="V31" s="72">
        <v>0</v>
      </c>
      <c r="W31" s="72">
        <v>0</v>
      </c>
      <c r="X31" s="72">
        <v>0</v>
      </c>
      <c r="Y31" s="72">
        <v>0</v>
      </c>
      <c r="Z31" s="72">
        <v>0</v>
      </c>
      <c r="AA31" s="72">
        <v>0</v>
      </c>
      <c r="AB31" s="72">
        <v>0</v>
      </c>
      <c r="AC31" s="72">
        <v>0</v>
      </c>
      <c r="AD31" s="295">
        <f t="shared" si="12"/>
        <v>0</v>
      </c>
    </row>
    <row r="32" spans="1:30" ht="18">
      <c r="A32" s="74" t="s">
        <v>404</v>
      </c>
      <c r="B32" s="503" t="s">
        <v>48</v>
      </c>
      <c r="C32" s="72">
        <v>0</v>
      </c>
      <c r="D32" s="72">
        <v>0</v>
      </c>
      <c r="E32" s="72">
        <v>0</v>
      </c>
      <c r="F32" s="72">
        <v>0</v>
      </c>
      <c r="G32" s="72">
        <v>0</v>
      </c>
      <c r="H32" s="72">
        <v>0</v>
      </c>
      <c r="I32" s="72">
        <v>0</v>
      </c>
      <c r="J32" s="72">
        <v>0</v>
      </c>
      <c r="K32" s="72">
        <v>0</v>
      </c>
      <c r="L32" s="72">
        <v>0</v>
      </c>
      <c r="M32" s="72">
        <v>0</v>
      </c>
      <c r="N32" s="72">
        <v>0</v>
      </c>
      <c r="O32" s="295">
        <f t="shared" si="11"/>
        <v>0</v>
      </c>
      <c r="P32" s="18" t="str">
        <f t="shared" si="13"/>
        <v>Vehicles</v>
      </c>
      <c r="Q32" s="533" t="str">
        <f t="shared" si="14"/>
        <v>P</v>
      </c>
      <c r="R32" s="72">
        <f>+N32</f>
        <v>0</v>
      </c>
      <c r="S32" s="72">
        <f>+R32</f>
        <v>0</v>
      </c>
      <c r="T32" s="72">
        <f aca="true" t="shared" si="15" ref="T32:AB32">+S32</f>
        <v>0</v>
      </c>
      <c r="U32" s="72">
        <f>+T32</f>
        <v>0</v>
      </c>
      <c r="V32" s="72">
        <f t="shared" si="15"/>
        <v>0</v>
      </c>
      <c r="W32" s="72">
        <f t="shared" si="15"/>
        <v>0</v>
      </c>
      <c r="X32" s="72">
        <f t="shared" si="15"/>
        <v>0</v>
      </c>
      <c r="Y32" s="72">
        <f t="shared" si="15"/>
        <v>0</v>
      </c>
      <c r="Z32" s="72">
        <f t="shared" si="15"/>
        <v>0</v>
      </c>
      <c r="AA32" s="72">
        <f t="shared" si="15"/>
        <v>0</v>
      </c>
      <c r="AB32" s="72">
        <f t="shared" si="15"/>
        <v>0</v>
      </c>
      <c r="AC32" s="72">
        <f>+AB32</f>
        <v>0</v>
      </c>
      <c r="AD32" s="295">
        <f t="shared" si="12"/>
        <v>0</v>
      </c>
    </row>
    <row r="33" spans="1:30" ht="18">
      <c r="A33" s="74" t="s">
        <v>441</v>
      </c>
      <c r="B33" s="503" t="s">
        <v>48</v>
      </c>
      <c r="C33" s="72">
        <v>0</v>
      </c>
      <c r="D33" s="72">
        <v>0</v>
      </c>
      <c r="E33" s="72">
        <v>0</v>
      </c>
      <c r="F33" s="72">
        <v>0</v>
      </c>
      <c r="G33" s="72">
        <v>0</v>
      </c>
      <c r="H33" s="72">
        <v>0</v>
      </c>
      <c r="I33" s="72">
        <v>0</v>
      </c>
      <c r="J33" s="72">
        <v>0</v>
      </c>
      <c r="K33" s="72">
        <v>0</v>
      </c>
      <c r="L33" s="72">
        <v>0</v>
      </c>
      <c r="M33" s="72">
        <v>0</v>
      </c>
      <c r="N33" s="72">
        <v>0</v>
      </c>
      <c r="O33" s="295">
        <f t="shared" si="11"/>
        <v>0</v>
      </c>
      <c r="P33" s="18" t="str">
        <f t="shared" si="13"/>
        <v>Reception Desk</v>
      </c>
      <c r="Q33" s="533" t="str">
        <f t="shared" si="14"/>
        <v>P</v>
      </c>
      <c r="R33" s="72">
        <v>0</v>
      </c>
      <c r="S33" s="72">
        <v>0</v>
      </c>
      <c r="T33" s="72">
        <v>0</v>
      </c>
      <c r="U33" s="72">
        <v>0</v>
      </c>
      <c r="V33" s="72">
        <v>0</v>
      </c>
      <c r="W33" s="72">
        <v>0</v>
      </c>
      <c r="X33" s="72">
        <v>0</v>
      </c>
      <c r="Y33" s="72">
        <v>0</v>
      </c>
      <c r="Z33" s="72">
        <v>0</v>
      </c>
      <c r="AA33" s="72">
        <v>0</v>
      </c>
      <c r="AB33" s="72">
        <v>0</v>
      </c>
      <c r="AC33" s="72">
        <v>0</v>
      </c>
      <c r="AD33" s="295">
        <f t="shared" si="12"/>
        <v>0</v>
      </c>
    </row>
    <row r="34" spans="1:30" ht="18">
      <c r="A34" s="74" t="s">
        <v>6</v>
      </c>
      <c r="B34" s="503" t="s">
        <v>48</v>
      </c>
      <c r="C34" s="72">
        <v>0</v>
      </c>
      <c r="D34" s="72">
        <v>0</v>
      </c>
      <c r="E34" s="72">
        <v>0</v>
      </c>
      <c r="F34" s="72">
        <v>0</v>
      </c>
      <c r="G34" s="72">
        <v>0</v>
      </c>
      <c r="H34" s="72">
        <v>0</v>
      </c>
      <c r="I34" s="72">
        <v>0</v>
      </c>
      <c r="J34" s="72">
        <v>0</v>
      </c>
      <c r="K34" s="72">
        <v>0</v>
      </c>
      <c r="L34" s="72">
        <v>0</v>
      </c>
      <c r="M34" s="72">
        <v>0</v>
      </c>
      <c r="N34" s="72">
        <v>0</v>
      </c>
      <c r="O34" s="295">
        <f t="shared" si="11"/>
        <v>0</v>
      </c>
      <c r="P34" s="18" t="str">
        <f t="shared" si="13"/>
        <v>Other</v>
      </c>
      <c r="Q34" s="533" t="str">
        <f t="shared" si="14"/>
        <v>P</v>
      </c>
      <c r="R34" s="72">
        <f>+N34</f>
        <v>0</v>
      </c>
      <c r="S34" s="72">
        <f>+R34</f>
        <v>0</v>
      </c>
      <c r="T34" s="72">
        <f aca="true" t="shared" si="16" ref="T34:AC34">+S34</f>
        <v>0</v>
      </c>
      <c r="U34" s="72">
        <f t="shared" si="16"/>
        <v>0</v>
      </c>
      <c r="V34" s="72">
        <f t="shared" si="16"/>
        <v>0</v>
      </c>
      <c r="W34" s="72">
        <f t="shared" si="16"/>
        <v>0</v>
      </c>
      <c r="X34" s="72">
        <f t="shared" si="16"/>
        <v>0</v>
      </c>
      <c r="Y34" s="72">
        <f t="shared" si="16"/>
        <v>0</v>
      </c>
      <c r="Z34" s="72">
        <f t="shared" si="16"/>
        <v>0</v>
      </c>
      <c r="AA34" s="72">
        <f t="shared" si="16"/>
        <v>0</v>
      </c>
      <c r="AB34" s="72">
        <f t="shared" si="16"/>
        <v>0</v>
      </c>
      <c r="AC34" s="72">
        <f t="shared" si="16"/>
        <v>0</v>
      </c>
      <c r="AD34" s="295">
        <f t="shared" si="12"/>
        <v>0</v>
      </c>
    </row>
    <row r="35" spans="1:30" ht="18">
      <c r="A35" s="74" t="s">
        <v>6</v>
      </c>
      <c r="B35" s="503" t="s">
        <v>48</v>
      </c>
      <c r="C35" s="72">
        <v>0</v>
      </c>
      <c r="D35" s="72">
        <v>0</v>
      </c>
      <c r="E35" s="72">
        <v>0</v>
      </c>
      <c r="F35" s="72">
        <v>0</v>
      </c>
      <c r="G35" s="72">
        <v>0</v>
      </c>
      <c r="H35" s="72">
        <v>0</v>
      </c>
      <c r="I35" s="72">
        <v>0</v>
      </c>
      <c r="J35" s="72">
        <v>0</v>
      </c>
      <c r="K35" s="72">
        <v>0</v>
      </c>
      <c r="L35" s="72">
        <v>0</v>
      </c>
      <c r="M35" s="72">
        <v>0</v>
      </c>
      <c r="N35" s="72">
        <v>0</v>
      </c>
      <c r="O35" s="295">
        <f t="shared" si="11"/>
        <v>0</v>
      </c>
      <c r="P35" s="18" t="str">
        <f t="shared" si="13"/>
        <v>Other</v>
      </c>
      <c r="Q35" s="533" t="str">
        <f t="shared" si="14"/>
        <v>P</v>
      </c>
      <c r="R35" s="72">
        <v>0</v>
      </c>
      <c r="S35" s="72">
        <v>0</v>
      </c>
      <c r="T35" s="72">
        <v>0</v>
      </c>
      <c r="U35" s="72">
        <v>0</v>
      </c>
      <c r="V35" s="72">
        <v>0</v>
      </c>
      <c r="W35" s="72">
        <v>0</v>
      </c>
      <c r="X35" s="72">
        <v>0</v>
      </c>
      <c r="Y35" s="72">
        <v>0</v>
      </c>
      <c r="Z35" s="72">
        <v>0</v>
      </c>
      <c r="AA35" s="72">
        <v>0</v>
      </c>
      <c r="AB35" s="72">
        <v>0</v>
      </c>
      <c r="AC35" s="72">
        <v>0</v>
      </c>
      <c r="AD35" s="295">
        <f t="shared" si="12"/>
        <v>0</v>
      </c>
    </row>
    <row r="36" spans="1:30" ht="18">
      <c r="A36" s="74" t="s">
        <v>6</v>
      </c>
      <c r="B36" s="503" t="s">
        <v>48</v>
      </c>
      <c r="C36" s="72">
        <v>0</v>
      </c>
      <c r="D36" s="72">
        <v>0</v>
      </c>
      <c r="E36" s="72">
        <v>0</v>
      </c>
      <c r="F36" s="72">
        <v>0</v>
      </c>
      <c r="G36" s="72">
        <v>0</v>
      </c>
      <c r="H36" s="72">
        <v>0</v>
      </c>
      <c r="I36" s="72">
        <v>0</v>
      </c>
      <c r="J36" s="72">
        <v>0</v>
      </c>
      <c r="K36" s="72">
        <v>0</v>
      </c>
      <c r="L36" s="72">
        <v>0</v>
      </c>
      <c r="M36" s="72">
        <v>0</v>
      </c>
      <c r="N36" s="72">
        <v>0</v>
      </c>
      <c r="O36" s="295">
        <f t="shared" si="11"/>
        <v>0</v>
      </c>
      <c r="P36" s="18" t="str">
        <f t="shared" si="13"/>
        <v>Other</v>
      </c>
      <c r="Q36" s="533" t="str">
        <f t="shared" si="14"/>
        <v>P</v>
      </c>
      <c r="R36" s="72">
        <v>0</v>
      </c>
      <c r="S36" s="72">
        <v>0</v>
      </c>
      <c r="T36" s="72">
        <v>0</v>
      </c>
      <c r="U36" s="72">
        <v>0</v>
      </c>
      <c r="V36" s="72">
        <v>0</v>
      </c>
      <c r="W36" s="72">
        <v>0</v>
      </c>
      <c r="X36" s="72">
        <v>0</v>
      </c>
      <c r="Y36" s="72">
        <v>0</v>
      </c>
      <c r="Z36" s="72">
        <v>0</v>
      </c>
      <c r="AA36" s="72">
        <v>0</v>
      </c>
      <c r="AB36" s="72">
        <v>0</v>
      </c>
      <c r="AC36" s="72">
        <v>0</v>
      </c>
      <c r="AD36" s="295">
        <f t="shared" si="12"/>
        <v>0</v>
      </c>
    </row>
    <row r="37" spans="1:30" ht="18">
      <c r="A37" s="74" t="s">
        <v>6</v>
      </c>
      <c r="B37" s="503" t="s">
        <v>48</v>
      </c>
      <c r="C37" s="72">
        <v>0</v>
      </c>
      <c r="D37" s="72">
        <v>0</v>
      </c>
      <c r="E37" s="72">
        <v>0</v>
      </c>
      <c r="F37" s="72">
        <v>0</v>
      </c>
      <c r="G37" s="72">
        <v>0</v>
      </c>
      <c r="H37" s="72">
        <v>0</v>
      </c>
      <c r="I37" s="72">
        <v>0</v>
      </c>
      <c r="J37" s="72">
        <v>0</v>
      </c>
      <c r="K37" s="72">
        <v>0</v>
      </c>
      <c r="L37" s="72">
        <v>0</v>
      </c>
      <c r="M37" s="72">
        <v>0</v>
      </c>
      <c r="N37" s="72">
        <v>0</v>
      </c>
      <c r="O37" s="295">
        <f t="shared" si="11"/>
        <v>0</v>
      </c>
      <c r="P37" s="18" t="str">
        <f t="shared" si="13"/>
        <v>Other</v>
      </c>
      <c r="Q37" s="533" t="str">
        <f t="shared" si="14"/>
        <v>P</v>
      </c>
      <c r="R37" s="72">
        <v>0</v>
      </c>
      <c r="S37" s="72">
        <v>0</v>
      </c>
      <c r="T37" s="72">
        <v>0</v>
      </c>
      <c r="U37" s="72">
        <v>0</v>
      </c>
      <c r="V37" s="72">
        <f aca="true" t="shared" si="17" ref="V37:AC37">+U37</f>
        <v>0</v>
      </c>
      <c r="W37" s="72">
        <v>0</v>
      </c>
      <c r="X37" s="72">
        <v>0</v>
      </c>
      <c r="Y37" s="72">
        <f t="shared" si="17"/>
        <v>0</v>
      </c>
      <c r="Z37" s="72">
        <f t="shared" si="17"/>
        <v>0</v>
      </c>
      <c r="AA37" s="72">
        <f t="shared" si="17"/>
        <v>0</v>
      </c>
      <c r="AB37" s="72">
        <f t="shared" si="17"/>
        <v>0</v>
      </c>
      <c r="AC37" s="72">
        <f t="shared" si="17"/>
        <v>0</v>
      </c>
      <c r="AD37" s="295">
        <f t="shared" si="12"/>
        <v>0</v>
      </c>
    </row>
    <row r="38" spans="1:30" ht="18">
      <c r="A38" s="74" t="s">
        <v>6</v>
      </c>
      <c r="B38" s="503" t="s">
        <v>48</v>
      </c>
      <c r="C38" s="72">
        <v>0</v>
      </c>
      <c r="D38" s="72">
        <v>0</v>
      </c>
      <c r="E38" s="72">
        <v>0</v>
      </c>
      <c r="F38" s="72">
        <v>0</v>
      </c>
      <c r="G38" s="72">
        <v>0</v>
      </c>
      <c r="H38" s="72">
        <v>0</v>
      </c>
      <c r="I38" s="72">
        <v>0</v>
      </c>
      <c r="J38" s="72">
        <v>0</v>
      </c>
      <c r="K38" s="72">
        <v>0</v>
      </c>
      <c r="L38" s="72">
        <v>0</v>
      </c>
      <c r="M38" s="72">
        <v>0</v>
      </c>
      <c r="N38" s="72">
        <v>0</v>
      </c>
      <c r="O38" s="295">
        <f t="shared" si="11"/>
        <v>0</v>
      </c>
      <c r="P38" s="18" t="str">
        <f t="shared" si="13"/>
        <v>Other</v>
      </c>
      <c r="Q38" s="533" t="str">
        <f t="shared" si="14"/>
        <v>P</v>
      </c>
      <c r="R38" s="72">
        <v>0</v>
      </c>
      <c r="S38" s="72">
        <v>0</v>
      </c>
      <c r="T38" s="72">
        <v>0</v>
      </c>
      <c r="U38" s="72">
        <v>0</v>
      </c>
      <c r="V38" s="72">
        <v>0</v>
      </c>
      <c r="W38" s="72">
        <v>0</v>
      </c>
      <c r="X38" s="72">
        <v>0</v>
      </c>
      <c r="Y38" s="72">
        <v>0</v>
      </c>
      <c r="Z38" s="72">
        <v>0</v>
      </c>
      <c r="AA38" s="72">
        <v>0</v>
      </c>
      <c r="AB38" s="72">
        <v>0</v>
      </c>
      <c r="AC38" s="72">
        <v>0</v>
      </c>
      <c r="AD38" s="295">
        <f t="shared" si="12"/>
        <v>0</v>
      </c>
    </row>
    <row r="39" spans="1:30" ht="18">
      <c r="A39" s="75" t="s">
        <v>440</v>
      </c>
      <c r="B39" s="504" t="s">
        <v>48</v>
      </c>
      <c r="C39" s="293">
        <v>0</v>
      </c>
      <c r="D39" s="72">
        <f>+C39</f>
        <v>0</v>
      </c>
      <c r="E39" s="72">
        <f aca="true" t="shared" si="18" ref="E39:N39">+D39</f>
        <v>0</v>
      </c>
      <c r="F39" s="72">
        <f>+E39</f>
        <v>0</v>
      </c>
      <c r="G39" s="72">
        <f>+F39</f>
        <v>0</v>
      </c>
      <c r="H39" s="72">
        <f t="shared" si="18"/>
        <v>0</v>
      </c>
      <c r="I39" s="72">
        <f t="shared" si="18"/>
        <v>0</v>
      </c>
      <c r="J39" s="72">
        <f>+I39</f>
        <v>0</v>
      </c>
      <c r="K39" s="72">
        <f t="shared" si="18"/>
        <v>0</v>
      </c>
      <c r="L39" s="72">
        <f t="shared" si="18"/>
        <v>0</v>
      </c>
      <c r="M39" s="72">
        <f t="shared" si="18"/>
        <v>0</v>
      </c>
      <c r="N39" s="72">
        <f t="shared" si="18"/>
        <v>0</v>
      </c>
      <c r="O39" s="79">
        <f t="shared" si="11"/>
        <v>0</v>
      </c>
      <c r="P39" s="57" t="str">
        <f t="shared" si="13"/>
        <v>Undefined</v>
      </c>
      <c r="Q39" s="534" t="str">
        <f t="shared" si="14"/>
        <v>P</v>
      </c>
      <c r="R39" s="453">
        <f>+N39</f>
        <v>0</v>
      </c>
      <c r="S39" s="454">
        <f>+R39</f>
        <v>0</v>
      </c>
      <c r="T39" s="454">
        <f aca="true" t="shared" si="19" ref="T39:AC39">+S39</f>
        <v>0</v>
      </c>
      <c r="U39" s="454">
        <f t="shared" si="19"/>
        <v>0</v>
      </c>
      <c r="V39" s="454">
        <f t="shared" si="19"/>
        <v>0</v>
      </c>
      <c r="W39" s="454">
        <f t="shared" si="19"/>
        <v>0</v>
      </c>
      <c r="X39" s="454">
        <f t="shared" si="19"/>
        <v>0</v>
      </c>
      <c r="Y39" s="454">
        <f t="shared" si="19"/>
        <v>0</v>
      </c>
      <c r="Z39" s="454">
        <f t="shared" si="19"/>
        <v>0</v>
      </c>
      <c r="AA39" s="454">
        <f t="shared" si="19"/>
        <v>0</v>
      </c>
      <c r="AB39" s="454">
        <f t="shared" si="19"/>
        <v>0</v>
      </c>
      <c r="AC39" s="454">
        <f t="shared" si="19"/>
        <v>0</v>
      </c>
      <c r="AD39" s="79">
        <f t="shared" si="12"/>
        <v>0</v>
      </c>
    </row>
    <row r="40" spans="1:31" ht="18">
      <c r="A40" t="s">
        <v>76</v>
      </c>
      <c r="B40" s="52"/>
      <c r="C40" s="54">
        <f>IF($B24="P",C24,0)+IF($B25="P",C25,0)+IF($B26="P",C26,0)+IF($B27="P",C27,0)+IF($B28="P",C28,0)+IF($B29="P",C29,0)+IF($B30="P",C30,0)+IF($B31="P",C31,0)+IF($B32="P",C32,0)+IF($B33="P",C33,0)+IF($B34="P",C34,0)+IF($B35="P",C35,0)+IF($B36="P",C36,0)+IF($B37="P",C37,0)+IF($B38="P",C38,0)+IF($B39="P",C39,0)</f>
        <v>0</v>
      </c>
      <c r="D40" s="54">
        <f aca="true" t="shared" si="20" ref="D40:N40">IF($B24="P",D24,0)+IF($B25="P",D25,0)+IF($B26="P",D26,0)+IF($B27="P",D27,0)+IF($B28="P",D28,0)+IF($B29="P",D29,0)+IF($B30="P",D30,0)+IF($B31="P",D31,0)+IF($B32="P",D32,0)+IF($B33="P",D33,0)+IF($B34="P",D34,0)+IF($B35="P",D35,0)+IF($B36="P",D36,0)+IF($B37="P",D37,0)+IF($B38="P",D38,0)+IF($B39="P",D39,0)</f>
        <v>0</v>
      </c>
      <c r="E40" s="54">
        <f t="shared" si="20"/>
        <v>0</v>
      </c>
      <c r="F40" s="54">
        <f t="shared" si="20"/>
        <v>0</v>
      </c>
      <c r="G40" s="54">
        <f t="shared" si="20"/>
        <v>0</v>
      </c>
      <c r="H40" s="54">
        <f t="shared" si="20"/>
        <v>0</v>
      </c>
      <c r="I40" s="54">
        <f t="shared" si="20"/>
        <v>0</v>
      </c>
      <c r="J40" s="54">
        <f t="shared" si="20"/>
        <v>0</v>
      </c>
      <c r="K40" s="54">
        <f t="shared" si="20"/>
        <v>0</v>
      </c>
      <c r="L40" s="54">
        <f t="shared" si="20"/>
        <v>0</v>
      </c>
      <c r="M40" s="54">
        <f t="shared" si="20"/>
        <v>0</v>
      </c>
      <c r="N40" s="54">
        <f t="shared" si="20"/>
        <v>0</v>
      </c>
      <c r="O40" s="52">
        <f>SUM(C40:N40)</f>
        <v>0</v>
      </c>
      <c r="P40" t="str">
        <f>+A40</f>
        <v>Total Furnishings Purchased</v>
      </c>
      <c r="Q40" s="463"/>
      <c r="R40" s="53">
        <f aca="true" t="shared" si="21" ref="R40:AC40">IF($B24="P",R24,0)+IF($B25="P",R25,0)+IF($B26="P",R26,0)+IF($B27="P",R27,0)+IF($B28="P",R28,0)+IF($B29="P",R29,0)+IF($B30="P",R30,0)+IF($B31="P",R31,0)+IF($B32="P",R32,0)+IF($B33="P",R33,0)+IF($B34="P",R34,0)+IF($B35="P",R35,0)+IF($B36="P",R36,0)+IF($B37="P",R37,0)+IF($B38="P",R38,0)+IF($B39="P",R39,0)</f>
        <v>0</v>
      </c>
      <c r="S40" s="54">
        <f t="shared" si="21"/>
        <v>0</v>
      </c>
      <c r="T40" s="54">
        <f t="shared" si="21"/>
        <v>0</v>
      </c>
      <c r="U40" s="54">
        <f t="shared" si="21"/>
        <v>0</v>
      </c>
      <c r="V40" s="54">
        <f t="shared" si="21"/>
        <v>0</v>
      </c>
      <c r="W40" s="54">
        <f t="shared" si="21"/>
        <v>0</v>
      </c>
      <c r="X40" s="54">
        <f t="shared" si="21"/>
        <v>0</v>
      </c>
      <c r="Y40" s="54">
        <f t="shared" si="21"/>
        <v>0</v>
      </c>
      <c r="Z40" s="54">
        <f t="shared" si="21"/>
        <v>0</v>
      </c>
      <c r="AA40" s="54">
        <f t="shared" si="21"/>
        <v>0</v>
      </c>
      <c r="AB40" s="54">
        <f t="shared" si="21"/>
        <v>0</v>
      </c>
      <c r="AC40" s="55">
        <f t="shared" si="21"/>
        <v>0</v>
      </c>
      <c r="AD40" s="76">
        <f>SUM(R40:AC40)</f>
        <v>0</v>
      </c>
      <c r="AE40" s="13"/>
    </row>
    <row r="41" spans="1:33" ht="18">
      <c r="A41" t="s">
        <v>77</v>
      </c>
      <c r="B41" s="13"/>
      <c r="C41" s="71">
        <f>IF($B24="L",C24,0)+IF($B25="L",C25,0)+IF($B26="L",C26,0)+IF($B27="L",C27,0)+IF($B28="L",C28,0)+IF($B29="L",C29,0)+IF($B30="L",C30,0)+IF($B31="L",C31,0)+IF($B32="L",C32,0)+IF($B33="L",C33,0)+IF($B34="L",C34,0)+IF($B35="L",C35,0)+IF($B36="L",C36,0)+IF($B37="L",C37,0)+IF($B38="L",C38,0)+IF($B39="L",C39,0)</f>
        <v>0</v>
      </c>
      <c r="D41" s="71">
        <f aca="true" t="shared" si="22" ref="D41:N41">IF($B24="L",D24,0)+IF($B25="L",D25,0)+IF($B26="L",D26,0)+IF($B27="L",D27,0)+IF($B28="L",D28,0)+IF($B29="L",D29,0)+IF($B30="L",D30,0)+IF($B31="L",D31,0)+IF($B32="L",D32,0)+IF($B33="L",D33,0)+IF($B34="L",D34,0)+IF($B35="L",D35,0)+IF($B36="L",D36,0)+IF($B37="L",D37,0)+IF($B38="L",D38,0)+IF($B39="L",D39,0)</f>
        <v>0</v>
      </c>
      <c r="E41" s="71">
        <f t="shared" si="22"/>
        <v>0</v>
      </c>
      <c r="F41" s="71">
        <f t="shared" si="22"/>
        <v>0</v>
      </c>
      <c r="G41" s="71">
        <f t="shared" si="22"/>
        <v>0</v>
      </c>
      <c r="H41" s="71">
        <f t="shared" si="22"/>
        <v>0</v>
      </c>
      <c r="I41" s="71">
        <f t="shared" si="22"/>
        <v>0</v>
      </c>
      <c r="J41" s="71">
        <f t="shared" si="22"/>
        <v>0</v>
      </c>
      <c r="K41" s="71">
        <f t="shared" si="22"/>
        <v>0</v>
      </c>
      <c r="L41" s="71">
        <f t="shared" si="22"/>
        <v>0</v>
      </c>
      <c r="M41" s="71">
        <f t="shared" si="22"/>
        <v>0</v>
      </c>
      <c r="N41" s="71">
        <f t="shared" si="22"/>
        <v>0</v>
      </c>
      <c r="O41" s="52">
        <f>SUM(C41:N41)</f>
        <v>0</v>
      </c>
      <c r="P41" t="str">
        <f>+A41</f>
        <v>Total Furnishings Leased</v>
      </c>
      <c r="Q41" s="110"/>
      <c r="R41" s="54">
        <f>IF($B24="L",R24,0)+IF($B25="L",R25,0)+IF($B26="L",R26,0)+IF($B27="L",R27,0)+IF($B28="L",R28,0)+IF($B29="L",R29,0)+IF($B30="L",R30,0)+IF($B31="L",R31,0)+IF($B32="L",R32,0)+IF($B33="L",R33,0)+IF($B34="L",R34,0)+IF($B35="L",R35,0)+IF($B36="L",R36,0)+IF($B37="L",R37,0)+IF($B38="L",R38,0)+IF($B39="L",R39,0)</f>
        <v>0</v>
      </c>
      <c r="S41" s="54">
        <f aca="true" t="shared" si="23" ref="S41:AC41">IF($B24="L",S24,0)+IF($B25="L",S25,0)+IF($B26="L",S26,0)+IF($B27="L",S27,0)+IF($B28="L",S28,0)+IF($B29="L",S29,0)+IF($B30="L",S30,0)+IF($B31="L",S31,0)+IF($B32="L",S32,0)+IF($B33="L",S33,0)+IF($B34="L",S34,0)+IF($B35="L",S35,0)+IF($B36="L",S36,0)+IF($B37="L",S37,0)+IF($B38="L",S38,0)+IF($B39="L",S39,0)</f>
        <v>0</v>
      </c>
      <c r="T41" s="54">
        <f t="shared" si="23"/>
        <v>0</v>
      </c>
      <c r="U41" s="54">
        <f t="shared" si="23"/>
        <v>0</v>
      </c>
      <c r="V41" s="54">
        <f t="shared" si="23"/>
        <v>0</v>
      </c>
      <c r="W41" s="54">
        <f t="shared" si="23"/>
        <v>0</v>
      </c>
      <c r="X41" s="54">
        <f t="shared" si="23"/>
        <v>0</v>
      </c>
      <c r="Y41" s="54">
        <f t="shared" si="23"/>
        <v>0</v>
      </c>
      <c r="Z41" s="54">
        <f t="shared" si="23"/>
        <v>0</v>
      </c>
      <c r="AA41" s="54">
        <f t="shared" si="23"/>
        <v>0</v>
      </c>
      <c r="AB41" s="54">
        <f t="shared" si="23"/>
        <v>0</v>
      </c>
      <c r="AC41" s="54">
        <f t="shared" si="23"/>
        <v>0</v>
      </c>
      <c r="AD41" s="295">
        <f>SUM(R41:AC41)</f>
        <v>0</v>
      </c>
      <c r="AE41" s="13"/>
      <c r="AF41" s="13"/>
      <c r="AG41" s="13"/>
    </row>
    <row r="42" spans="3:30" ht="18">
      <c r="C42" s="71"/>
      <c r="D42" s="71"/>
      <c r="E42" s="71"/>
      <c r="F42" s="71"/>
      <c r="G42" s="71"/>
      <c r="H42" s="71"/>
      <c r="I42" s="71"/>
      <c r="J42" s="71"/>
      <c r="K42" s="71"/>
      <c r="L42" s="71"/>
      <c r="M42" s="71"/>
      <c r="N42" s="71"/>
      <c r="O42" s="71"/>
      <c r="R42" s="54"/>
      <c r="S42" s="54"/>
      <c r="T42" s="54"/>
      <c r="U42" s="54"/>
      <c r="V42" s="54"/>
      <c r="W42" s="54"/>
      <c r="X42" s="54"/>
      <c r="Y42" s="54"/>
      <c r="Z42" s="54"/>
      <c r="AA42" s="54"/>
      <c r="AB42" s="54"/>
      <c r="AC42" s="54"/>
      <c r="AD42" s="71"/>
    </row>
    <row r="43" spans="1:30" ht="18">
      <c r="A43" t="s">
        <v>78</v>
      </c>
      <c r="B43" s="463"/>
      <c r="C43" s="53">
        <f aca="true" t="shared" si="24" ref="C43:N43">+C17+C40</f>
        <v>0</v>
      </c>
      <c r="D43" s="54">
        <f t="shared" si="24"/>
        <v>0</v>
      </c>
      <c r="E43" s="54">
        <f t="shared" si="24"/>
        <v>0</v>
      </c>
      <c r="F43" s="54">
        <f t="shared" si="24"/>
        <v>0</v>
      </c>
      <c r="G43" s="54">
        <f t="shared" si="24"/>
        <v>0</v>
      </c>
      <c r="H43" s="54">
        <f t="shared" si="24"/>
        <v>0</v>
      </c>
      <c r="I43" s="54">
        <f t="shared" si="24"/>
        <v>0</v>
      </c>
      <c r="J43" s="54">
        <f t="shared" si="24"/>
        <v>0</v>
      </c>
      <c r="K43" s="54">
        <f t="shared" si="24"/>
        <v>0</v>
      </c>
      <c r="L43" s="54">
        <f t="shared" si="24"/>
        <v>0</v>
      </c>
      <c r="M43" s="54">
        <f t="shared" si="24"/>
        <v>0</v>
      </c>
      <c r="N43" s="55">
        <f t="shared" si="24"/>
        <v>0</v>
      </c>
      <c r="O43" s="295">
        <f>SUM(C43:N43)</f>
        <v>0</v>
      </c>
      <c r="P43" t="str">
        <f>+A43</f>
        <v>Total Fixed Assets Purchased</v>
      </c>
      <c r="Q43" s="463"/>
      <c r="R43" s="53">
        <f aca="true" t="shared" si="25" ref="R43:AC43">+R17+R40</f>
        <v>0</v>
      </c>
      <c r="S43" s="54">
        <f t="shared" si="25"/>
        <v>0</v>
      </c>
      <c r="T43" s="54">
        <f t="shared" si="25"/>
        <v>0</v>
      </c>
      <c r="U43" s="54">
        <f t="shared" si="25"/>
        <v>0</v>
      </c>
      <c r="V43" s="54">
        <f t="shared" si="25"/>
        <v>0</v>
      </c>
      <c r="W43" s="54">
        <f t="shared" si="25"/>
        <v>0</v>
      </c>
      <c r="X43" s="54">
        <f t="shared" si="25"/>
        <v>0</v>
      </c>
      <c r="Y43" s="54">
        <f t="shared" si="25"/>
        <v>0</v>
      </c>
      <c r="Z43" s="54">
        <f t="shared" si="25"/>
        <v>0</v>
      </c>
      <c r="AA43" s="54">
        <f t="shared" si="25"/>
        <v>0</v>
      </c>
      <c r="AB43" s="54">
        <f t="shared" si="25"/>
        <v>0</v>
      </c>
      <c r="AC43" s="55">
        <f t="shared" si="25"/>
        <v>0</v>
      </c>
      <c r="AD43" s="295">
        <f>SUM(R43:AC43)</f>
        <v>0</v>
      </c>
    </row>
    <row r="44" spans="1:30" ht="18">
      <c r="A44" t="s">
        <v>79</v>
      </c>
      <c r="B44" s="110"/>
      <c r="C44" s="79">
        <f aca="true" t="shared" si="26" ref="C44:N44">+C18+C41</f>
        <v>0</v>
      </c>
      <c r="D44" s="71">
        <f t="shared" si="26"/>
        <v>0</v>
      </c>
      <c r="E44" s="71">
        <f t="shared" si="26"/>
        <v>0</v>
      </c>
      <c r="F44" s="71">
        <f t="shared" si="26"/>
        <v>0</v>
      </c>
      <c r="G44" s="71">
        <f t="shared" si="26"/>
        <v>0</v>
      </c>
      <c r="H44" s="71">
        <f t="shared" si="26"/>
        <v>0</v>
      </c>
      <c r="I44" s="71">
        <f t="shared" si="26"/>
        <v>0</v>
      </c>
      <c r="J44" s="71">
        <f t="shared" si="26"/>
        <v>0</v>
      </c>
      <c r="K44" s="71">
        <f t="shared" si="26"/>
        <v>0</v>
      </c>
      <c r="L44" s="71">
        <f t="shared" si="26"/>
        <v>0</v>
      </c>
      <c r="M44" s="71">
        <f t="shared" si="26"/>
        <v>0</v>
      </c>
      <c r="N44" s="80">
        <f t="shared" si="26"/>
        <v>0</v>
      </c>
      <c r="O44" s="295">
        <f>SUM(C44:N44)</f>
        <v>0</v>
      </c>
      <c r="P44" t="str">
        <f>+A44</f>
        <v>Total Fixed Assets Leased</v>
      </c>
      <c r="Q44" s="110"/>
      <c r="R44" s="53">
        <f aca="true" t="shared" si="27" ref="R44:AC44">+R18+R41</f>
        <v>0</v>
      </c>
      <c r="S44" s="54">
        <f t="shared" si="27"/>
        <v>0</v>
      </c>
      <c r="T44" s="54">
        <f t="shared" si="27"/>
        <v>0</v>
      </c>
      <c r="U44" s="54">
        <f t="shared" si="27"/>
        <v>0</v>
      </c>
      <c r="V44" s="54">
        <f t="shared" si="27"/>
        <v>0</v>
      </c>
      <c r="W44" s="54">
        <f t="shared" si="27"/>
        <v>0</v>
      </c>
      <c r="X44" s="54">
        <f t="shared" si="27"/>
        <v>0</v>
      </c>
      <c r="Y44" s="54">
        <f t="shared" si="27"/>
        <v>0</v>
      </c>
      <c r="Z44" s="54">
        <f t="shared" si="27"/>
        <v>0</v>
      </c>
      <c r="AA44" s="54">
        <f t="shared" si="27"/>
        <v>0</v>
      </c>
      <c r="AB44" s="54">
        <f t="shared" si="27"/>
        <v>0</v>
      </c>
      <c r="AC44" s="55">
        <f t="shared" si="27"/>
        <v>0</v>
      </c>
      <c r="AD44" s="295">
        <f>SUM(R44:AC44)</f>
        <v>0</v>
      </c>
    </row>
    <row r="45" spans="3:30" ht="18">
      <c r="C45" s="52"/>
      <c r="D45" s="52"/>
      <c r="E45" s="52"/>
      <c r="F45" s="52"/>
      <c r="G45" s="52"/>
      <c r="H45" s="52"/>
      <c r="I45" s="52"/>
      <c r="J45" s="52"/>
      <c r="K45" s="52"/>
      <c r="L45" s="52"/>
      <c r="M45" s="52"/>
      <c r="N45" s="52"/>
      <c r="O45" s="52"/>
      <c r="R45" s="52"/>
      <c r="S45" s="52"/>
      <c r="T45" s="52"/>
      <c r="U45" s="52"/>
      <c r="V45" s="52"/>
      <c r="W45" s="52"/>
      <c r="X45" s="52"/>
      <c r="Y45" s="52"/>
      <c r="Z45" s="52"/>
      <c r="AA45" s="52"/>
      <c r="AB45" s="52"/>
      <c r="AC45" s="52"/>
      <c r="AD45" s="52"/>
    </row>
    <row r="46" spans="1:29" ht="18">
      <c r="A46" s="35" t="s">
        <v>14</v>
      </c>
      <c r="B46" s="73" t="s">
        <v>3</v>
      </c>
      <c r="C46" s="40"/>
      <c r="D46" s="40"/>
      <c r="E46" s="40"/>
      <c r="F46" s="40"/>
      <c r="G46" s="40"/>
      <c r="H46" s="40"/>
      <c r="I46" s="40"/>
      <c r="J46" s="40"/>
      <c r="K46" s="40"/>
      <c r="L46" s="40"/>
      <c r="M46" s="40"/>
      <c r="N46" s="40"/>
      <c r="P46" s="35" t="s">
        <v>14</v>
      </c>
      <c r="Q46" s="73" t="s">
        <v>3</v>
      </c>
      <c r="R46" s="40"/>
      <c r="S46" s="40"/>
      <c r="T46" s="40"/>
      <c r="U46" s="40"/>
      <c r="V46" s="40"/>
      <c r="W46" s="40"/>
      <c r="X46" s="40"/>
      <c r="Y46" s="40"/>
      <c r="Z46" s="40"/>
      <c r="AA46" s="40"/>
      <c r="AB46" s="40"/>
      <c r="AC46" s="40"/>
    </row>
    <row r="47" spans="1:30" ht="18">
      <c r="A47" t="s">
        <v>25</v>
      </c>
      <c r="B47" s="296">
        <v>36</v>
      </c>
      <c r="C47" s="52">
        <f>+C17/B47</f>
        <v>0</v>
      </c>
      <c r="D47" s="52">
        <f aca="true" t="shared" si="28" ref="D47:N47">(D17/$B47)+C47</f>
        <v>0</v>
      </c>
      <c r="E47" s="52">
        <f t="shared" si="28"/>
        <v>0</v>
      </c>
      <c r="F47" s="52">
        <f t="shared" si="28"/>
        <v>0</v>
      </c>
      <c r="G47" s="52">
        <f t="shared" si="28"/>
        <v>0</v>
      </c>
      <c r="H47" s="52">
        <f t="shared" si="28"/>
        <v>0</v>
      </c>
      <c r="I47" s="52">
        <f t="shared" si="28"/>
        <v>0</v>
      </c>
      <c r="J47" s="52">
        <f t="shared" si="28"/>
        <v>0</v>
      </c>
      <c r="K47" s="52">
        <f t="shared" si="28"/>
        <v>0</v>
      </c>
      <c r="L47" s="52">
        <f t="shared" si="28"/>
        <v>0</v>
      </c>
      <c r="M47" s="52">
        <f t="shared" si="28"/>
        <v>0</v>
      </c>
      <c r="N47" s="52">
        <f t="shared" si="28"/>
        <v>0</v>
      </c>
      <c r="O47" s="295">
        <f>SUM(C47:N47)</f>
        <v>0</v>
      </c>
      <c r="P47" t="str">
        <f>+A47</f>
        <v>Computer Equipment</v>
      </c>
      <c r="Q47" s="296">
        <v>36</v>
      </c>
      <c r="R47" s="52">
        <f>+R17/Q47+N47</f>
        <v>0</v>
      </c>
      <c r="S47" s="52">
        <f aca="true" t="shared" si="29" ref="S47:AC47">(S17/$B47)+R47</f>
        <v>0</v>
      </c>
      <c r="T47" s="52">
        <f t="shared" si="29"/>
        <v>0</v>
      </c>
      <c r="U47" s="52">
        <f t="shared" si="29"/>
        <v>0</v>
      </c>
      <c r="V47" s="52">
        <f t="shared" si="29"/>
        <v>0</v>
      </c>
      <c r="W47" s="52">
        <f t="shared" si="29"/>
        <v>0</v>
      </c>
      <c r="X47" s="52">
        <f t="shared" si="29"/>
        <v>0</v>
      </c>
      <c r="Y47" s="52">
        <f t="shared" si="29"/>
        <v>0</v>
      </c>
      <c r="Z47" s="52">
        <f t="shared" si="29"/>
        <v>0</v>
      </c>
      <c r="AA47" s="52">
        <f t="shared" si="29"/>
        <v>0</v>
      </c>
      <c r="AB47" s="52">
        <f t="shared" si="29"/>
        <v>0</v>
      </c>
      <c r="AC47" s="52">
        <f t="shared" si="29"/>
        <v>0</v>
      </c>
      <c r="AD47" s="295">
        <f>SUM(R47:AC47)</f>
        <v>0</v>
      </c>
    </row>
    <row r="48" spans="1:30" ht="18">
      <c r="A48" s="40" t="s">
        <v>157</v>
      </c>
      <c r="B48" s="297">
        <v>60</v>
      </c>
      <c r="C48" s="79">
        <f>+C40/B48</f>
        <v>0</v>
      </c>
      <c r="D48" s="71">
        <f aca="true" t="shared" si="30" ref="D48:N48">+(D40/$B48)+C48</f>
        <v>0</v>
      </c>
      <c r="E48" s="71">
        <f t="shared" si="30"/>
        <v>0</v>
      </c>
      <c r="F48" s="71">
        <f t="shared" si="30"/>
        <v>0</v>
      </c>
      <c r="G48" s="71">
        <f t="shared" si="30"/>
        <v>0</v>
      </c>
      <c r="H48" s="71">
        <f t="shared" si="30"/>
        <v>0</v>
      </c>
      <c r="I48" s="71">
        <f t="shared" si="30"/>
        <v>0</v>
      </c>
      <c r="J48" s="71">
        <f t="shared" si="30"/>
        <v>0</v>
      </c>
      <c r="K48" s="71">
        <f t="shared" si="30"/>
        <v>0</v>
      </c>
      <c r="L48" s="71">
        <f t="shared" si="30"/>
        <v>0</v>
      </c>
      <c r="M48" s="71">
        <f t="shared" si="30"/>
        <v>0</v>
      </c>
      <c r="N48" s="80">
        <f t="shared" si="30"/>
        <v>0</v>
      </c>
      <c r="O48" s="79">
        <f>SUM(C48:N48)</f>
        <v>0</v>
      </c>
      <c r="P48" s="40" t="str">
        <f>+A48</f>
        <v>Furniture &amp; Fixtures</v>
      </c>
      <c r="Q48" s="297">
        <v>60</v>
      </c>
      <c r="R48" s="79">
        <f>+R40/Q48+N48</f>
        <v>0</v>
      </c>
      <c r="S48" s="71">
        <f aca="true" t="shared" si="31" ref="S48:AC48">+(S40/$B48)+R48</f>
        <v>0</v>
      </c>
      <c r="T48" s="71">
        <f t="shared" si="31"/>
        <v>0</v>
      </c>
      <c r="U48" s="71">
        <f t="shared" si="31"/>
        <v>0</v>
      </c>
      <c r="V48" s="71">
        <f t="shared" si="31"/>
        <v>0</v>
      </c>
      <c r="W48" s="71">
        <f t="shared" si="31"/>
        <v>0</v>
      </c>
      <c r="X48" s="71">
        <f t="shared" si="31"/>
        <v>0</v>
      </c>
      <c r="Y48" s="71">
        <f t="shared" si="31"/>
        <v>0</v>
      </c>
      <c r="Z48" s="71">
        <f t="shared" si="31"/>
        <v>0</v>
      </c>
      <c r="AA48" s="71">
        <f t="shared" si="31"/>
        <v>0</v>
      </c>
      <c r="AB48" s="71">
        <f t="shared" si="31"/>
        <v>0</v>
      </c>
      <c r="AC48" s="80">
        <f t="shared" si="31"/>
        <v>0</v>
      </c>
      <c r="AD48" s="79">
        <f>SUM(R48:AC48)</f>
        <v>0</v>
      </c>
    </row>
    <row r="49" spans="1:30" ht="18">
      <c r="A49" t="s">
        <v>47</v>
      </c>
      <c r="B49" s="110"/>
      <c r="C49" s="71">
        <f aca="true" t="shared" si="32" ref="C49:N49">SUM(C47:C48)</f>
        <v>0</v>
      </c>
      <c r="D49" s="71">
        <f t="shared" si="32"/>
        <v>0</v>
      </c>
      <c r="E49" s="71">
        <f t="shared" si="32"/>
        <v>0</v>
      </c>
      <c r="F49" s="71">
        <f t="shared" si="32"/>
        <v>0</v>
      </c>
      <c r="G49" s="71">
        <f t="shared" si="32"/>
        <v>0</v>
      </c>
      <c r="H49" s="71">
        <f t="shared" si="32"/>
        <v>0</v>
      </c>
      <c r="I49" s="71">
        <f t="shared" si="32"/>
        <v>0</v>
      </c>
      <c r="J49" s="71">
        <f t="shared" si="32"/>
        <v>0</v>
      </c>
      <c r="K49" s="71">
        <f t="shared" si="32"/>
        <v>0</v>
      </c>
      <c r="L49" s="71">
        <f t="shared" si="32"/>
        <v>0</v>
      </c>
      <c r="M49" s="71">
        <f t="shared" si="32"/>
        <v>0</v>
      </c>
      <c r="N49" s="71">
        <f t="shared" si="32"/>
        <v>0</v>
      </c>
      <c r="O49" s="295">
        <f>SUM(C49:N49)</f>
        <v>0</v>
      </c>
      <c r="P49" t="str">
        <f>+A49</f>
        <v>Total Depreciation</v>
      </c>
      <c r="Q49" s="110"/>
      <c r="R49" s="53">
        <f aca="true" t="shared" si="33" ref="R49:AC49">SUM(R47:R48)</f>
        <v>0</v>
      </c>
      <c r="S49" s="54">
        <f t="shared" si="33"/>
        <v>0</v>
      </c>
      <c r="T49" s="54">
        <f t="shared" si="33"/>
        <v>0</v>
      </c>
      <c r="U49" s="54">
        <f t="shared" si="33"/>
        <v>0</v>
      </c>
      <c r="V49" s="54">
        <f t="shared" si="33"/>
        <v>0</v>
      </c>
      <c r="W49" s="54">
        <f t="shared" si="33"/>
        <v>0</v>
      </c>
      <c r="X49" s="54">
        <f t="shared" si="33"/>
        <v>0</v>
      </c>
      <c r="Y49" s="54">
        <f t="shared" si="33"/>
        <v>0</v>
      </c>
      <c r="Z49" s="54">
        <f t="shared" si="33"/>
        <v>0</v>
      </c>
      <c r="AA49" s="54">
        <f t="shared" si="33"/>
        <v>0</v>
      </c>
      <c r="AB49" s="54">
        <f t="shared" si="33"/>
        <v>0</v>
      </c>
      <c r="AC49" s="55">
        <f t="shared" si="33"/>
        <v>0</v>
      </c>
      <c r="AD49" s="295">
        <f>SUM(R49:AC49)</f>
        <v>0</v>
      </c>
    </row>
    <row r="50" spans="2:30" ht="18">
      <c r="B50" s="13"/>
      <c r="C50" s="52"/>
      <c r="D50" s="52"/>
      <c r="E50" s="52"/>
      <c r="F50" s="52"/>
      <c r="G50" s="52"/>
      <c r="H50" s="52"/>
      <c r="I50" s="52"/>
      <c r="J50" s="52"/>
      <c r="K50" s="52"/>
      <c r="L50" s="52"/>
      <c r="M50" s="52"/>
      <c r="N50" s="52"/>
      <c r="O50" s="61"/>
      <c r="Q50" s="13"/>
      <c r="R50" s="52"/>
      <c r="S50" s="52"/>
      <c r="T50" s="52"/>
      <c r="U50" s="52"/>
      <c r="V50" s="52"/>
      <c r="W50" s="52"/>
      <c r="X50" s="52"/>
      <c r="Y50" s="52"/>
      <c r="Z50" s="52"/>
      <c r="AA50" s="52"/>
      <c r="AB50" s="52"/>
      <c r="AC50" s="52"/>
      <c r="AD50" s="61"/>
    </row>
    <row r="51" spans="1:30" ht="18">
      <c r="A51" s="18" t="s">
        <v>130</v>
      </c>
      <c r="B51" s="13"/>
      <c r="C51" s="52"/>
      <c r="D51" s="52"/>
      <c r="E51" s="52"/>
      <c r="F51" s="52"/>
      <c r="G51" s="52"/>
      <c r="H51" s="52"/>
      <c r="I51" s="52"/>
      <c r="J51" s="52"/>
      <c r="K51" s="52"/>
      <c r="L51" s="52"/>
      <c r="M51" s="52"/>
      <c r="N51" s="52"/>
      <c r="O51" s="61"/>
      <c r="P51" s="18" t="s">
        <v>130</v>
      </c>
      <c r="Q51" s="13"/>
      <c r="R51" s="52"/>
      <c r="S51" s="52"/>
      <c r="T51" s="52"/>
      <c r="U51" s="52"/>
      <c r="V51" s="52"/>
      <c r="W51" s="52"/>
      <c r="X51" s="52"/>
      <c r="Y51" s="52"/>
      <c r="Z51" s="52"/>
      <c r="AA51" s="52"/>
      <c r="AB51" s="52"/>
      <c r="AC51" s="52"/>
      <c r="AD51" s="61"/>
    </row>
  </sheetData>
  <sheetProtection/>
  <printOptions/>
  <pageMargins left="0.5" right="0.5" top="0.75" bottom="0.75" header="0.5" footer="0.5"/>
  <pageSetup firstPageNumber="1" useFirstPageNumber="1" horizontalDpi="600" verticalDpi="600" orientation="landscape" pageOrder="overThenDown" scale="55" r:id="rId3"/>
  <headerFooter alignWithMargins="0">
    <oddFooter>&amp;R&amp;A  Page &amp;P</oddFooter>
  </headerFooter>
  <colBreaks count="1" manualBreakCount="1">
    <brk id="15" max="65535" man="1"/>
  </colBreaks>
  <legacyDrawing r:id="rId2"/>
</worksheet>
</file>

<file path=xl/worksheets/sheet6.xml><?xml version="1.0" encoding="utf-8"?>
<worksheet xmlns="http://schemas.openxmlformats.org/spreadsheetml/2006/main" xmlns:r="http://schemas.openxmlformats.org/officeDocument/2006/relationships">
  <dimension ref="A1:AD55"/>
  <sheetViews>
    <sheetView zoomScale="85" zoomScaleNormal="85" zoomScaleSheetLayoutView="40" zoomScalePageLayoutView="0" workbookViewId="0" topLeftCell="A1">
      <selection activeCell="S5" sqref="S5:AC5"/>
    </sheetView>
  </sheetViews>
  <sheetFormatPr defaultColWidth="8.72265625" defaultRowHeight="18"/>
  <cols>
    <col min="1" max="1" width="25.72265625" style="0" customWidth="1"/>
    <col min="2" max="2" width="11.72265625" style="0" customWidth="1"/>
    <col min="3" max="13" width="11.8125" style="0" customWidth="1"/>
    <col min="14" max="14" width="13.2734375" style="0" customWidth="1"/>
    <col min="15" max="15" width="13.0859375" style="0" customWidth="1"/>
    <col min="16" max="16" width="24.36328125" style="0" customWidth="1"/>
    <col min="17" max="17" width="11.72265625" style="0" customWidth="1"/>
    <col min="18" max="28" width="11.8125" style="0" customWidth="1"/>
    <col min="29" max="29" width="13.2734375" style="0" customWidth="1"/>
    <col min="30" max="30" width="11.8125" style="0" bestFit="1" customWidth="1"/>
  </cols>
  <sheetData>
    <row r="1" spans="1:30" s="250" customFormat="1" ht="18">
      <c r="A1" s="371" t="s">
        <v>420</v>
      </c>
      <c r="C1" s="372"/>
      <c r="D1" s="372"/>
      <c r="E1" s="372"/>
      <c r="F1" s="372"/>
      <c r="G1" s="372"/>
      <c r="H1" s="372"/>
      <c r="I1" s="372"/>
      <c r="J1" s="372"/>
      <c r="K1" s="372"/>
      <c r="L1" s="372"/>
      <c r="M1" s="372"/>
      <c r="N1" s="372"/>
      <c r="O1" s="373" t="str">
        <f>+Cover!A17</f>
        <v>Draft 1.0</v>
      </c>
      <c r="P1" s="371" t="str">
        <f>+A1</f>
        <v>Company Name</v>
      </c>
      <c r="R1" s="372"/>
      <c r="S1" s="372"/>
      <c r="T1" s="372"/>
      <c r="U1" s="372"/>
      <c r="V1" s="372"/>
      <c r="W1" s="372"/>
      <c r="X1" s="372"/>
      <c r="Y1" s="372"/>
      <c r="Z1" s="372"/>
      <c r="AA1" s="372"/>
      <c r="AB1" s="372"/>
      <c r="AC1" s="372"/>
      <c r="AD1" s="373" t="str">
        <f>+O1</f>
        <v>Draft 1.0</v>
      </c>
    </row>
    <row r="2" spans="1:30" s="250" customFormat="1" ht="23.25">
      <c r="A2" s="374" t="s">
        <v>411</v>
      </c>
      <c r="C2" s="372"/>
      <c r="D2" s="372"/>
      <c r="E2" s="372"/>
      <c r="F2" s="372"/>
      <c r="G2" s="372"/>
      <c r="H2" s="372"/>
      <c r="I2" s="372"/>
      <c r="J2" s="372"/>
      <c r="K2" s="372"/>
      <c r="L2" s="372"/>
      <c r="M2" s="372"/>
      <c r="N2" s="443"/>
      <c r="O2" s="372"/>
      <c r="P2" s="374" t="s">
        <v>411</v>
      </c>
      <c r="R2" s="372"/>
      <c r="S2" s="372"/>
      <c r="T2" s="372"/>
      <c r="U2" s="372"/>
      <c r="V2" s="372"/>
      <c r="W2" s="372"/>
      <c r="X2" s="372"/>
      <c r="Y2" s="372"/>
      <c r="Z2" s="372"/>
      <c r="AA2" s="372"/>
      <c r="AB2" s="372"/>
      <c r="AC2" s="443"/>
      <c r="AD2" s="372"/>
    </row>
    <row r="3" spans="1:16" s="250" customFormat="1" ht="18">
      <c r="A3" s="375">
        <f>+Headcount!A3</f>
        <v>2022</v>
      </c>
      <c r="O3" s="93"/>
      <c r="P3" s="21">
        <f>IF(A3="Year 1","Year 2",A3+1)</f>
        <v>2023</v>
      </c>
    </row>
    <row r="4" spans="1:30" s="250" customFormat="1" ht="18">
      <c r="A4" s="375"/>
      <c r="C4" s="619">
        <f>IF(ISBLANK(Headcount!C$3),"",Headcount!C$3)</f>
      </c>
      <c r="D4" s="619">
        <f>IF(ISBLANK(Headcount!D$3),"",Headcount!D$3)</f>
      </c>
      <c r="E4" s="619">
        <f>IF(ISBLANK(Headcount!E$3),"",Headcount!E$3)</f>
      </c>
      <c r="F4" s="619">
        <f>IF(ISBLANK(Headcount!F$3),"",Headcount!F$3)</f>
      </c>
      <c r="G4" s="619">
        <f>IF(ISBLANK(Headcount!G$3),"",Headcount!G$3)</f>
      </c>
      <c r="H4" s="619">
        <f>IF(ISBLANK(Headcount!H$3),"",Headcount!H$3)</f>
      </c>
      <c r="I4" s="619">
        <f>IF(ISBLANK(Headcount!I$3),"",Headcount!I$3)</f>
      </c>
      <c r="J4" s="619">
        <f>IF(ISBLANK(Headcount!J$3),"",Headcount!J$3)</f>
      </c>
      <c r="K4" s="619">
        <f>IF(ISBLANK(Headcount!K$3),"",Headcount!K$3)</f>
      </c>
      <c r="L4" s="619">
        <f>IF(ISBLANK(Headcount!L$3),"",Headcount!L$3)</f>
      </c>
      <c r="M4" s="619">
        <f>IF(ISBLANK(Headcount!M$3),"",Headcount!M$3)</f>
      </c>
      <c r="N4" s="619">
        <f>IF(ISBLANK(Headcount!N$3),"",Headcount!N$3)</f>
      </c>
      <c r="O4" s="376"/>
      <c r="P4" s="375"/>
      <c r="R4" s="619">
        <f>IF(ISBLANK(Headcount!R$3),"",Headcount!R$3)</f>
      </c>
      <c r="S4" s="619">
        <f>IF(ISBLANK(Headcount!S$3),"",Headcount!S$3)</f>
      </c>
      <c r="T4" s="619">
        <f>IF(ISBLANK(Headcount!T$3),"",Headcount!T$3)</f>
      </c>
      <c r="U4" s="619">
        <f>IF(ISBLANK(Headcount!U$3),"",Headcount!U$3)</f>
      </c>
      <c r="V4" s="619">
        <f>IF(ISBLANK(Headcount!V$3),"",Headcount!V$3)</f>
      </c>
      <c r="W4" s="619">
        <f>IF(ISBLANK(Headcount!W$3),"",Headcount!W$3)</f>
      </c>
      <c r="X4" s="619">
        <f>IF(ISBLANK(Headcount!X$3),"",Headcount!X$3)</f>
      </c>
      <c r="Y4" s="619">
        <f>IF(ISBLANK(Headcount!Y$3),"",Headcount!Y$3)</f>
      </c>
      <c r="Z4" s="619">
        <f>IF(ISBLANK(Headcount!Z$3),"",Headcount!Z$3)</f>
      </c>
      <c r="AA4" s="619">
        <f>IF(ISBLANK(Headcount!AA$3),"",Headcount!AA$3)</f>
      </c>
      <c r="AB4" s="619">
        <f>IF(ISBLANK(Headcount!AB$3),"",Headcount!AB$3)</f>
      </c>
      <c r="AC4" s="619">
        <f>IF(ISBLANK(Headcount!AC$3),"",Headcount!AC$3)</f>
      </c>
      <c r="AD4" s="376"/>
    </row>
    <row r="5" spans="3:30" s="250" customFormat="1" ht="18">
      <c r="C5" s="377" t="s">
        <v>128</v>
      </c>
      <c r="D5" s="22" t="str">
        <f>IF(ISBLANK(Headcount!D$4),"",Headcount!D$4)</f>
        <v>Actual</v>
      </c>
      <c r="E5" s="680" t="str">
        <f>IF(ISBLANK(Headcount!E$4),"",Headcount!E$4)</f>
        <v>Actual</v>
      </c>
      <c r="F5" s="659" t="str">
        <f>IF(ISBLANK(Headcount!F$4),"",Headcount!F$4)</f>
        <v>Forecast</v>
      </c>
      <c r="G5" s="659" t="str">
        <f>IF(ISBLANK(Headcount!G$4),"",Headcount!G$4)</f>
        <v>Forecast</v>
      </c>
      <c r="H5" s="659" t="str">
        <f>IF(ISBLANK(Headcount!H$4),"",Headcount!H$4)</f>
        <v>Forecast</v>
      </c>
      <c r="I5" s="659" t="str">
        <f>IF(ISBLANK(Headcount!I$4),"",Headcount!I$4)</f>
        <v>Forecast</v>
      </c>
      <c r="J5" s="659" t="str">
        <f>IF(ISBLANK(Headcount!J$4),"",Headcount!J$4)</f>
        <v>Forecast</v>
      </c>
      <c r="K5" s="659" t="str">
        <f>IF(ISBLANK(Headcount!K$4),"",Headcount!K$4)</f>
        <v>Forecast</v>
      </c>
      <c r="L5" s="659" t="str">
        <f>IF(ISBLANK(Headcount!L$4),"",Headcount!L$4)</f>
        <v>Forecast</v>
      </c>
      <c r="M5" s="659" t="str">
        <f>IF(ISBLANK(Headcount!M$4),"",Headcount!M$4)</f>
        <v>Forecast</v>
      </c>
      <c r="N5" s="659" t="str">
        <f>IF(ISBLANK(Headcount!N$4),"",Headcount!N$4)</f>
        <v>Forecast</v>
      </c>
      <c r="O5" s="376" t="s">
        <v>1</v>
      </c>
      <c r="R5" s="377" t="s">
        <v>128</v>
      </c>
      <c r="S5" s="659" t="str">
        <f>IF(ISBLANK(Headcount!S$4),"",Headcount!S$4)</f>
        <v>Forecast</v>
      </c>
      <c r="T5" s="659" t="str">
        <f>IF(ISBLANK(Headcount!T$4),"",Headcount!T$4)</f>
        <v>Forecast</v>
      </c>
      <c r="U5" s="659" t="str">
        <f>IF(ISBLANK(Headcount!U$4),"",Headcount!U$4)</f>
        <v>Forecast</v>
      </c>
      <c r="V5" s="659" t="str">
        <f>IF(ISBLANK(Headcount!V$4),"",Headcount!V$4)</f>
        <v>Forecast</v>
      </c>
      <c r="W5" s="659" t="str">
        <f>IF(ISBLANK(Headcount!W$4),"",Headcount!W$4)</f>
        <v>Forecast</v>
      </c>
      <c r="X5" s="659" t="str">
        <f>IF(ISBLANK(Headcount!X$4),"",Headcount!X$4)</f>
        <v>Forecast</v>
      </c>
      <c r="Y5" s="659" t="str">
        <f>IF(ISBLANK(Headcount!Y$4),"",Headcount!Y$4)</f>
        <v>Forecast</v>
      </c>
      <c r="Z5" s="659" t="str">
        <f>IF(ISBLANK(Headcount!Z$4),"",Headcount!Z$4)</f>
        <v>Forecast</v>
      </c>
      <c r="AA5" s="659" t="str">
        <f>IF(ISBLANK(Headcount!AA$4),"",Headcount!AA$4)</f>
        <v>Forecast</v>
      </c>
      <c r="AB5" s="659" t="str">
        <f>IF(ISBLANK(Headcount!AB$4),"",Headcount!AB$4)</f>
        <v>Forecast</v>
      </c>
      <c r="AC5" s="659" t="str">
        <f>IF(ISBLANK(Headcount!AC$4),"",Headcount!AC$4)</f>
        <v>Forecast</v>
      </c>
      <c r="AD5" s="376" t="s">
        <v>1</v>
      </c>
    </row>
    <row r="6" spans="1:30" s="250" customFormat="1" ht="18.75" thickBot="1">
      <c r="A6" s="378"/>
      <c r="B6" s="379"/>
      <c r="C6" s="380" t="str">
        <f>+Headcount!C5</f>
        <v>Jan</v>
      </c>
      <c r="D6" s="380" t="str">
        <f>+Headcount!D5</f>
        <v>Feb</v>
      </c>
      <c r="E6" s="380" t="str">
        <f>+Headcount!E5</f>
        <v>Mar</v>
      </c>
      <c r="F6" s="380" t="str">
        <f>+Headcount!F5</f>
        <v>Apr</v>
      </c>
      <c r="G6" s="380" t="str">
        <f>+Headcount!G5</f>
        <v>May</v>
      </c>
      <c r="H6" s="380" t="str">
        <f>+Headcount!H5</f>
        <v>Jun</v>
      </c>
      <c r="I6" s="380" t="str">
        <f>+Headcount!I5</f>
        <v>Jul</v>
      </c>
      <c r="J6" s="380" t="str">
        <f>+Headcount!J5</f>
        <v>Aug</v>
      </c>
      <c r="K6" s="380" t="str">
        <f>+Headcount!K5</f>
        <v>Sep</v>
      </c>
      <c r="L6" s="380" t="str">
        <f>+Headcount!L5</f>
        <v>Oct</v>
      </c>
      <c r="M6" s="380" t="str">
        <f>+Headcount!M5</f>
        <v>Nov</v>
      </c>
      <c r="N6" s="380" t="str">
        <f>+Headcount!N5</f>
        <v>Dec</v>
      </c>
      <c r="O6" s="381" t="s">
        <v>2</v>
      </c>
      <c r="P6" s="378"/>
      <c r="Q6" s="379"/>
      <c r="R6" s="380" t="str">
        <f>+Headcount!R5</f>
        <v>Jan</v>
      </c>
      <c r="S6" s="380" t="str">
        <f>+Headcount!S5</f>
        <v>Feb</v>
      </c>
      <c r="T6" s="380" t="str">
        <f>+Headcount!T5</f>
        <v>Mar</v>
      </c>
      <c r="U6" s="380" t="str">
        <f>+Headcount!U5</f>
        <v>Apr</v>
      </c>
      <c r="V6" s="380" t="str">
        <f>+Headcount!V5</f>
        <v>May</v>
      </c>
      <c r="W6" s="380" t="str">
        <f>+Headcount!W5</f>
        <v>Jun</v>
      </c>
      <c r="X6" s="380" t="str">
        <f>+Headcount!X5</f>
        <v>Jul</v>
      </c>
      <c r="Y6" s="380" t="str">
        <f>+Headcount!Y5</f>
        <v>Aug</v>
      </c>
      <c r="Z6" s="380" t="str">
        <f>+Headcount!Z5</f>
        <v>Sep</v>
      </c>
      <c r="AA6" s="380" t="str">
        <f>+Headcount!AA5</f>
        <v>Oct</v>
      </c>
      <c r="AB6" s="380" t="str">
        <f>+Headcount!AB5</f>
        <v>Nov</v>
      </c>
      <c r="AC6" s="380" t="str">
        <f>+Headcount!AC5</f>
        <v>Dec</v>
      </c>
      <c r="AD6" s="381" t="s">
        <v>2</v>
      </c>
    </row>
    <row r="7" spans="1:30" s="250" customFormat="1" ht="18">
      <c r="A7" s="438" t="s">
        <v>558</v>
      </c>
      <c r="B7" s="383"/>
      <c r="C7" s="507"/>
      <c r="D7" s="507"/>
      <c r="E7" s="507"/>
      <c r="F7" s="507"/>
      <c r="G7" s="507"/>
      <c r="H7" s="507"/>
      <c r="I7" s="507"/>
      <c r="J7" s="507"/>
      <c r="K7" s="507"/>
      <c r="L7" s="507"/>
      <c r="M7" s="507"/>
      <c r="N7" s="507"/>
      <c r="O7" s="384"/>
      <c r="P7" s="438" t="str">
        <f>IF(A7="","",+A7)</f>
        <v>UNITS FORECAST</v>
      </c>
      <c r="Q7" s="383"/>
      <c r="R7" s="507"/>
      <c r="S7" s="507"/>
      <c r="T7" s="507"/>
      <c r="U7" s="507"/>
      <c r="V7" s="507"/>
      <c r="W7" s="507"/>
      <c r="X7" s="507"/>
      <c r="Y7" s="507"/>
      <c r="Z7" s="507"/>
      <c r="AA7" s="507"/>
      <c r="AB7" s="507"/>
      <c r="AC7" s="507"/>
      <c r="AD7" s="384"/>
    </row>
    <row r="8" spans="1:30" ht="18">
      <c r="A8" s="441" t="s">
        <v>512</v>
      </c>
      <c r="B8" s="110"/>
      <c r="C8" s="72">
        <v>0</v>
      </c>
      <c r="D8" s="72">
        <f aca="true" t="shared" si="0" ref="D8:D15">+C8</f>
        <v>0</v>
      </c>
      <c r="E8" s="72">
        <f aca="true" t="shared" si="1" ref="E8:E13">+D8</f>
        <v>0</v>
      </c>
      <c r="F8" s="72">
        <f aca="true" t="shared" si="2" ref="F8:N8">+E8</f>
        <v>0</v>
      </c>
      <c r="G8" s="72">
        <f t="shared" si="2"/>
        <v>0</v>
      </c>
      <c r="H8" s="72">
        <f t="shared" si="2"/>
        <v>0</v>
      </c>
      <c r="I8" s="72">
        <f>+H8</f>
        <v>0</v>
      </c>
      <c r="J8" s="72">
        <f>+I8</f>
        <v>0</v>
      </c>
      <c r="K8" s="72">
        <f>+J8</f>
        <v>0</v>
      </c>
      <c r="L8" s="72">
        <f t="shared" si="2"/>
        <v>0</v>
      </c>
      <c r="M8" s="72">
        <f>+L8</f>
        <v>0</v>
      </c>
      <c r="N8" s="72">
        <f t="shared" si="2"/>
        <v>0</v>
      </c>
      <c r="O8" s="295">
        <f>SUM(C8:N8)</f>
        <v>0</v>
      </c>
      <c r="P8" s="58" t="str">
        <f aca="true" t="shared" si="3" ref="P8:P15">IF(A8="","",A8)</f>
        <v>Product 1</v>
      </c>
      <c r="Q8" s="110"/>
      <c r="R8" s="72">
        <f aca="true" t="shared" si="4" ref="R8:R15">+N8</f>
        <v>0</v>
      </c>
      <c r="S8" s="72">
        <f>+R8</f>
        <v>0</v>
      </c>
      <c r="T8" s="72">
        <f aca="true" t="shared" si="5" ref="T8:AC8">+S8</f>
        <v>0</v>
      </c>
      <c r="U8" s="72">
        <f t="shared" si="5"/>
        <v>0</v>
      </c>
      <c r="V8" s="72">
        <f t="shared" si="5"/>
        <v>0</v>
      </c>
      <c r="W8" s="72">
        <f t="shared" si="5"/>
        <v>0</v>
      </c>
      <c r="X8" s="72">
        <f t="shared" si="5"/>
        <v>0</v>
      </c>
      <c r="Y8" s="72">
        <f t="shared" si="5"/>
        <v>0</v>
      </c>
      <c r="Z8" s="72">
        <f t="shared" si="5"/>
        <v>0</v>
      </c>
      <c r="AA8" s="72">
        <f t="shared" si="5"/>
        <v>0</v>
      </c>
      <c r="AB8" s="72">
        <f t="shared" si="5"/>
        <v>0</v>
      </c>
      <c r="AC8" s="72">
        <f t="shared" si="5"/>
        <v>0</v>
      </c>
      <c r="AD8" s="295">
        <f>SUM(R8:AC8)</f>
        <v>0</v>
      </c>
    </row>
    <row r="9" spans="1:30" ht="18">
      <c r="A9" s="441" t="s">
        <v>513</v>
      </c>
      <c r="B9" s="110"/>
      <c r="C9" s="72">
        <v>0</v>
      </c>
      <c r="D9" s="72">
        <f t="shared" si="0"/>
        <v>0</v>
      </c>
      <c r="E9" s="72">
        <f t="shared" si="1"/>
        <v>0</v>
      </c>
      <c r="F9" s="72">
        <f aca="true" t="shared" si="6" ref="F9:M9">+E9</f>
        <v>0</v>
      </c>
      <c r="G9" s="72">
        <f t="shared" si="6"/>
        <v>0</v>
      </c>
      <c r="H9" s="72">
        <f t="shared" si="6"/>
        <v>0</v>
      </c>
      <c r="I9" s="72">
        <f t="shared" si="6"/>
        <v>0</v>
      </c>
      <c r="J9" s="72">
        <f t="shared" si="6"/>
        <v>0</v>
      </c>
      <c r="K9" s="72">
        <f t="shared" si="6"/>
        <v>0</v>
      </c>
      <c r="L9" s="72">
        <f>+K9</f>
        <v>0</v>
      </c>
      <c r="M9" s="72">
        <f t="shared" si="6"/>
        <v>0</v>
      </c>
      <c r="N9" s="72">
        <f>+M9</f>
        <v>0</v>
      </c>
      <c r="O9" s="295">
        <f aca="true" t="shared" si="7" ref="O9:O16">SUM(C9:N9)</f>
        <v>0</v>
      </c>
      <c r="P9" s="58" t="str">
        <f t="shared" si="3"/>
        <v>Product 2</v>
      </c>
      <c r="Q9" s="110"/>
      <c r="R9" s="72">
        <f t="shared" si="4"/>
        <v>0</v>
      </c>
      <c r="S9" s="72">
        <f>+R9</f>
        <v>0</v>
      </c>
      <c r="T9" s="72">
        <f aca="true" t="shared" si="8" ref="T9:AC9">+S9</f>
        <v>0</v>
      </c>
      <c r="U9" s="72">
        <f t="shared" si="8"/>
        <v>0</v>
      </c>
      <c r="V9" s="72">
        <f t="shared" si="8"/>
        <v>0</v>
      </c>
      <c r="W9" s="72">
        <f t="shared" si="8"/>
        <v>0</v>
      </c>
      <c r="X9" s="72">
        <f t="shared" si="8"/>
        <v>0</v>
      </c>
      <c r="Y9" s="72">
        <f t="shared" si="8"/>
        <v>0</v>
      </c>
      <c r="Z9" s="72">
        <f t="shared" si="8"/>
        <v>0</v>
      </c>
      <c r="AA9" s="72">
        <f t="shared" si="8"/>
        <v>0</v>
      </c>
      <c r="AB9" s="72">
        <f t="shared" si="8"/>
        <v>0</v>
      </c>
      <c r="AC9" s="72">
        <f t="shared" si="8"/>
        <v>0</v>
      </c>
      <c r="AD9" s="295">
        <f aca="true" t="shared" si="9" ref="AD9:AD16">SUM(R9:AC9)</f>
        <v>0</v>
      </c>
    </row>
    <row r="10" spans="1:30" ht="18">
      <c r="A10" s="441" t="s">
        <v>514</v>
      </c>
      <c r="B10" s="110"/>
      <c r="C10" s="72">
        <v>0</v>
      </c>
      <c r="D10" s="72">
        <f t="shared" si="0"/>
        <v>0</v>
      </c>
      <c r="E10" s="72">
        <f t="shared" si="1"/>
        <v>0</v>
      </c>
      <c r="F10" s="72">
        <f aca="true" t="shared" si="10" ref="F10:N10">+E10</f>
        <v>0</v>
      </c>
      <c r="G10" s="72">
        <f t="shared" si="10"/>
        <v>0</v>
      </c>
      <c r="H10" s="72">
        <f t="shared" si="10"/>
        <v>0</v>
      </c>
      <c r="I10" s="72">
        <f t="shared" si="10"/>
        <v>0</v>
      </c>
      <c r="J10" s="72">
        <f t="shared" si="10"/>
        <v>0</v>
      </c>
      <c r="K10" s="72">
        <f t="shared" si="10"/>
        <v>0</v>
      </c>
      <c r="L10" s="72">
        <f t="shared" si="10"/>
        <v>0</v>
      </c>
      <c r="M10" s="72">
        <f t="shared" si="10"/>
        <v>0</v>
      </c>
      <c r="N10" s="72">
        <f t="shared" si="10"/>
        <v>0</v>
      </c>
      <c r="O10" s="295">
        <f t="shared" si="7"/>
        <v>0</v>
      </c>
      <c r="P10" s="58" t="str">
        <f t="shared" si="3"/>
        <v>Product 3</v>
      </c>
      <c r="Q10" s="110"/>
      <c r="R10" s="72">
        <f t="shared" si="4"/>
        <v>0</v>
      </c>
      <c r="S10" s="72">
        <f>+R10</f>
        <v>0</v>
      </c>
      <c r="T10" s="72">
        <f aca="true" t="shared" si="11" ref="T10:AC10">+S10</f>
        <v>0</v>
      </c>
      <c r="U10" s="72">
        <f t="shared" si="11"/>
        <v>0</v>
      </c>
      <c r="V10" s="72">
        <f t="shared" si="11"/>
        <v>0</v>
      </c>
      <c r="W10" s="72">
        <f t="shared" si="11"/>
        <v>0</v>
      </c>
      <c r="X10" s="72">
        <f t="shared" si="11"/>
        <v>0</v>
      </c>
      <c r="Y10" s="72">
        <f t="shared" si="11"/>
        <v>0</v>
      </c>
      <c r="Z10" s="72">
        <f t="shared" si="11"/>
        <v>0</v>
      </c>
      <c r="AA10" s="72">
        <f t="shared" si="11"/>
        <v>0</v>
      </c>
      <c r="AB10" s="72">
        <f t="shared" si="11"/>
        <v>0</v>
      </c>
      <c r="AC10" s="72">
        <f t="shared" si="11"/>
        <v>0</v>
      </c>
      <c r="AD10" s="295">
        <f t="shared" si="9"/>
        <v>0</v>
      </c>
    </row>
    <row r="11" spans="1:30" ht="18">
      <c r="A11" s="441" t="s">
        <v>515</v>
      </c>
      <c r="B11" s="110"/>
      <c r="C11" s="72">
        <v>0</v>
      </c>
      <c r="D11" s="72">
        <f t="shared" si="0"/>
        <v>0</v>
      </c>
      <c r="E11" s="72">
        <f t="shared" si="1"/>
        <v>0</v>
      </c>
      <c r="F11" s="72">
        <f aca="true" t="shared" si="12" ref="F11:N11">+E11</f>
        <v>0</v>
      </c>
      <c r="G11" s="72">
        <f t="shared" si="12"/>
        <v>0</v>
      </c>
      <c r="H11" s="72">
        <f t="shared" si="12"/>
        <v>0</v>
      </c>
      <c r="I11" s="72">
        <f t="shared" si="12"/>
        <v>0</v>
      </c>
      <c r="J11" s="72">
        <f t="shared" si="12"/>
        <v>0</v>
      </c>
      <c r="K11" s="72">
        <f t="shared" si="12"/>
        <v>0</v>
      </c>
      <c r="L11" s="72">
        <f t="shared" si="12"/>
        <v>0</v>
      </c>
      <c r="M11" s="72">
        <f t="shared" si="12"/>
        <v>0</v>
      </c>
      <c r="N11" s="72">
        <f t="shared" si="12"/>
        <v>0</v>
      </c>
      <c r="O11" s="295">
        <f t="shared" si="7"/>
        <v>0</v>
      </c>
      <c r="P11" s="58" t="str">
        <f t="shared" si="3"/>
        <v>Product 4</v>
      </c>
      <c r="Q11" s="110"/>
      <c r="R11" s="72">
        <f t="shared" si="4"/>
        <v>0</v>
      </c>
      <c r="S11" s="72">
        <f aca="true" t="shared" si="13" ref="S11:AC14">+R11</f>
        <v>0</v>
      </c>
      <c r="T11" s="72">
        <f t="shared" si="13"/>
        <v>0</v>
      </c>
      <c r="U11" s="72">
        <f t="shared" si="13"/>
        <v>0</v>
      </c>
      <c r="V11" s="72">
        <f t="shared" si="13"/>
        <v>0</v>
      </c>
      <c r="W11" s="72">
        <f t="shared" si="13"/>
        <v>0</v>
      </c>
      <c r="X11" s="72">
        <f t="shared" si="13"/>
        <v>0</v>
      </c>
      <c r="Y11" s="72">
        <f t="shared" si="13"/>
        <v>0</v>
      </c>
      <c r="Z11" s="72">
        <f t="shared" si="13"/>
        <v>0</v>
      </c>
      <c r="AA11" s="72">
        <f t="shared" si="13"/>
        <v>0</v>
      </c>
      <c r="AB11" s="72">
        <f t="shared" si="13"/>
        <v>0</v>
      </c>
      <c r="AC11" s="72">
        <f t="shared" si="13"/>
        <v>0</v>
      </c>
      <c r="AD11" s="295">
        <f t="shared" si="9"/>
        <v>0</v>
      </c>
    </row>
    <row r="12" spans="1:30" ht="18">
      <c r="A12" s="441" t="s">
        <v>516</v>
      </c>
      <c r="B12" s="110"/>
      <c r="C12" s="72">
        <v>0</v>
      </c>
      <c r="D12" s="72">
        <f t="shared" si="0"/>
        <v>0</v>
      </c>
      <c r="E12" s="72">
        <f t="shared" si="1"/>
        <v>0</v>
      </c>
      <c r="F12" s="72">
        <f aca="true" t="shared" si="14" ref="F12:N12">+E12</f>
        <v>0</v>
      </c>
      <c r="G12" s="72">
        <f t="shared" si="14"/>
        <v>0</v>
      </c>
      <c r="H12" s="72">
        <f t="shared" si="14"/>
        <v>0</v>
      </c>
      <c r="I12" s="72">
        <f t="shared" si="14"/>
        <v>0</v>
      </c>
      <c r="J12" s="72">
        <f t="shared" si="14"/>
        <v>0</v>
      </c>
      <c r="K12" s="72">
        <f t="shared" si="14"/>
        <v>0</v>
      </c>
      <c r="L12" s="72">
        <f t="shared" si="14"/>
        <v>0</v>
      </c>
      <c r="M12" s="72">
        <f t="shared" si="14"/>
        <v>0</v>
      </c>
      <c r="N12" s="72">
        <f t="shared" si="14"/>
        <v>0</v>
      </c>
      <c r="O12" s="295">
        <f t="shared" si="7"/>
        <v>0</v>
      </c>
      <c r="P12" s="58" t="str">
        <f t="shared" si="3"/>
        <v>Product 5</v>
      </c>
      <c r="Q12" s="110"/>
      <c r="R12" s="72">
        <f t="shared" si="4"/>
        <v>0</v>
      </c>
      <c r="S12" s="72">
        <f t="shared" si="13"/>
        <v>0</v>
      </c>
      <c r="T12" s="72">
        <f t="shared" si="13"/>
        <v>0</v>
      </c>
      <c r="U12" s="72">
        <f t="shared" si="13"/>
        <v>0</v>
      </c>
      <c r="V12" s="72">
        <f t="shared" si="13"/>
        <v>0</v>
      </c>
      <c r="W12" s="72">
        <f t="shared" si="13"/>
        <v>0</v>
      </c>
      <c r="X12" s="72">
        <f t="shared" si="13"/>
        <v>0</v>
      </c>
      <c r="Y12" s="72">
        <f t="shared" si="13"/>
        <v>0</v>
      </c>
      <c r="Z12" s="72">
        <f t="shared" si="13"/>
        <v>0</v>
      </c>
      <c r="AA12" s="72">
        <f t="shared" si="13"/>
        <v>0</v>
      </c>
      <c r="AB12" s="72">
        <f t="shared" si="13"/>
        <v>0</v>
      </c>
      <c r="AC12" s="72">
        <f t="shared" si="13"/>
        <v>0</v>
      </c>
      <c r="AD12" s="295">
        <f t="shared" si="9"/>
        <v>0</v>
      </c>
    </row>
    <row r="13" spans="1:30" ht="18">
      <c r="A13" s="441" t="s">
        <v>417</v>
      </c>
      <c r="B13" s="110"/>
      <c r="C13" s="72">
        <v>0</v>
      </c>
      <c r="D13" s="72">
        <f t="shared" si="0"/>
        <v>0</v>
      </c>
      <c r="E13" s="72">
        <f t="shared" si="1"/>
        <v>0</v>
      </c>
      <c r="F13" s="72">
        <f aca="true" t="shared" si="15" ref="F13:N13">+E13</f>
        <v>0</v>
      </c>
      <c r="G13" s="72">
        <f t="shared" si="15"/>
        <v>0</v>
      </c>
      <c r="H13" s="72">
        <f t="shared" si="15"/>
        <v>0</v>
      </c>
      <c r="I13" s="72">
        <f t="shared" si="15"/>
        <v>0</v>
      </c>
      <c r="J13" s="72">
        <f t="shared" si="15"/>
        <v>0</v>
      </c>
      <c r="K13" s="72">
        <f t="shared" si="15"/>
        <v>0</v>
      </c>
      <c r="L13" s="72">
        <f t="shared" si="15"/>
        <v>0</v>
      </c>
      <c r="M13" s="72">
        <f t="shared" si="15"/>
        <v>0</v>
      </c>
      <c r="N13" s="72">
        <f t="shared" si="15"/>
        <v>0</v>
      </c>
      <c r="O13" s="295">
        <f t="shared" si="7"/>
        <v>0</v>
      </c>
      <c r="P13" s="58" t="str">
        <f t="shared" si="3"/>
        <v>Product 6</v>
      </c>
      <c r="Q13" s="110"/>
      <c r="R13" s="72">
        <f t="shared" si="4"/>
        <v>0</v>
      </c>
      <c r="S13" s="72">
        <f t="shared" si="13"/>
        <v>0</v>
      </c>
      <c r="T13" s="72">
        <f t="shared" si="13"/>
        <v>0</v>
      </c>
      <c r="U13" s="72">
        <f t="shared" si="13"/>
        <v>0</v>
      </c>
      <c r="V13" s="72">
        <f t="shared" si="13"/>
        <v>0</v>
      </c>
      <c r="W13" s="72">
        <f t="shared" si="13"/>
        <v>0</v>
      </c>
      <c r="X13" s="72">
        <f t="shared" si="13"/>
        <v>0</v>
      </c>
      <c r="Y13" s="72">
        <f t="shared" si="13"/>
        <v>0</v>
      </c>
      <c r="Z13" s="72">
        <f t="shared" si="13"/>
        <v>0</v>
      </c>
      <c r="AA13" s="72">
        <f t="shared" si="13"/>
        <v>0</v>
      </c>
      <c r="AB13" s="72">
        <f t="shared" si="13"/>
        <v>0</v>
      </c>
      <c r="AC13" s="72">
        <f t="shared" si="13"/>
        <v>0</v>
      </c>
      <c r="AD13" s="295">
        <f t="shared" si="9"/>
        <v>0</v>
      </c>
    </row>
    <row r="14" spans="1:30" ht="18">
      <c r="A14" s="441" t="s">
        <v>418</v>
      </c>
      <c r="B14" s="110"/>
      <c r="C14" s="72">
        <v>0</v>
      </c>
      <c r="D14" s="72">
        <f t="shared" si="0"/>
        <v>0</v>
      </c>
      <c r="E14" s="72">
        <f aca="true" t="shared" si="16" ref="E14:N14">+D14</f>
        <v>0</v>
      </c>
      <c r="F14" s="72">
        <f t="shared" si="16"/>
        <v>0</v>
      </c>
      <c r="G14" s="72">
        <f t="shared" si="16"/>
        <v>0</v>
      </c>
      <c r="H14" s="72">
        <f t="shared" si="16"/>
        <v>0</v>
      </c>
      <c r="I14" s="72">
        <f t="shared" si="16"/>
        <v>0</v>
      </c>
      <c r="J14" s="72">
        <f t="shared" si="16"/>
        <v>0</v>
      </c>
      <c r="K14" s="72">
        <f t="shared" si="16"/>
        <v>0</v>
      </c>
      <c r="L14" s="72">
        <f t="shared" si="16"/>
        <v>0</v>
      </c>
      <c r="M14" s="72">
        <f t="shared" si="16"/>
        <v>0</v>
      </c>
      <c r="N14" s="72">
        <f t="shared" si="16"/>
        <v>0</v>
      </c>
      <c r="O14" s="295">
        <f t="shared" si="7"/>
        <v>0</v>
      </c>
      <c r="P14" s="58" t="str">
        <f t="shared" si="3"/>
        <v>Product 7</v>
      </c>
      <c r="Q14" s="110"/>
      <c r="R14" s="72">
        <f t="shared" si="4"/>
        <v>0</v>
      </c>
      <c r="S14" s="72">
        <f t="shared" si="13"/>
        <v>0</v>
      </c>
      <c r="T14" s="72">
        <f t="shared" si="13"/>
        <v>0</v>
      </c>
      <c r="U14" s="72">
        <f t="shared" si="13"/>
        <v>0</v>
      </c>
      <c r="V14" s="72">
        <f t="shared" si="13"/>
        <v>0</v>
      </c>
      <c r="W14" s="72">
        <f t="shared" si="13"/>
        <v>0</v>
      </c>
      <c r="X14" s="72">
        <f t="shared" si="13"/>
        <v>0</v>
      </c>
      <c r="Y14" s="72">
        <f t="shared" si="13"/>
        <v>0</v>
      </c>
      <c r="Z14" s="72">
        <f t="shared" si="13"/>
        <v>0</v>
      </c>
      <c r="AA14" s="72">
        <f t="shared" si="13"/>
        <v>0</v>
      </c>
      <c r="AB14" s="72">
        <f t="shared" si="13"/>
        <v>0</v>
      </c>
      <c r="AC14" s="72">
        <f t="shared" si="13"/>
        <v>0</v>
      </c>
      <c r="AD14" s="295">
        <f t="shared" si="9"/>
        <v>0</v>
      </c>
    </row>
    <row r="15" spans="1:30" ht="18">
      <c r="A15" s="442" t="s">
        <v>419</v>
      </c>
      <c r="B15" s="39"/>
      <c r="C15" s="453">
        <v>0</v>
      </c>
      <c r="D15" s="72">
        <f t="shared" si="0"/>
        <v>0</v>
      </c>
      <c r="E15" s="72">
        <f aca="true" t="shared" si="17" ref="E15:N15">+D15</f>
        <v>0</v>
      </c>
      <c r="F15" s="72">
        <f t="shared" si="17"/>
        <v>0</v>
      </c>
      <c r="G15" s="72">
        <f t="shared" si="17"/>
        <v>0</v>
      </c>
      <c r="H15" s="72">
        <f t="shared" si="17"/>
        <v>0</v>
      </c>
      <c r="I15" s="72">
        <f t="shared" si="17"/>
        <v>0</v>
      </c>
      <c r="J15" s="72">
        <f t="shared" si="17"/>
        <v>0</v>
      </c>
      <c r="K15" s="72">
        <f t="shared" si="17"/>
        <v>0</v>
      </c>
      <c r="L15" s="72">
        <f t="shared" si="17"/>
        <v>0</v>
      </c>
      <c r="M15" s="72">
        <f t="shared" si="17"/>
        <v>0</v>
      </c>
      <c r="N15" s="72">
        <f t="shared" si="17"/>
        <v>0</v>
      </c>
      <c r="O15" s="79">
        <f t="shared" si="7"/>
        <v>0</v>
      </c>
      <c r="P15" s="459" t="str">
        <f t="shared" si="3"/>
        <v>Product 8</v>
      </c>
      <c r="Q15" s="39"/>
      <c r="R15" s="72">
        <f t="shared" si="4"/>
        <v>0</v>
      </c>
      <c r="S15" s="72">
        <f>+R15</f>
        <v>0</v>
      </c>
      <c r="T15" s="72">
        <f aca="true" t="shared" si="18" ref="T15:AC15">+S15</f>
        <v>0</v>
      </c>
      <c r="U15" s="72">
        <f t="shared" si="18"/>
        <v>0</v>
      </c>
      <c r="V15" s="72">
        <f t="shared" si="18"/>
        <v>0</v>
      </c>
      <c r="W15" s="72">
        <f t="shared" si="18"/>
        <v>0</v>
      </c>
      <c r="X15" s="72">
        <f t="shared" si="18"/>
        <v>0</v>
      </c>
      <c r="Y15" s="72">
        <f t="shared" si="18"/>
        <v>0</v>
      </c>
      <c r="Z15" s="72">
        <f t="shared" si="18"/>
        <v>0</v>
      </c>
      <c r="AA15" s="72">
        <f t="shared" si="18"/>
        <v>0</v>
      </c>
      <c r="AB15" s="72">
        <f t="shared" si="18"/>
        <v>0</v>
      </c>
      <c r="AC15" s="72">
        <f t="shared" si="18"/>
        <v>0</v>
      </c>
      <c r="AD15" s="79">
        <f t="shared" si="9"/>
        <v>0</v>
      </c>
    </row>
    <row r="16" spans="1:30" ht="18">
      <c r="A16" s="58" t="s">
        <v>410</v>
      </c>
      <c r="B16" s="110"/>
      <c r="C16" s="53">
        <f>SUM(C8:C15)</f>
        <v>0</v>
      </c>
      <c r="D16" s="54">
        <f aca="true" t="shared" si="19" ref="D16:N16">SUM(D8:D15)</f>
        <v>0</v>
      </c>
      <c r="E16" s="54">
        <f t="shared" si="19"/>
        <v>0</v>
      </c>
      <c r="F16" s="54">
        <f t="shared" si="19"/>
        <v>0</v>
      </c>
      <c r="G16" s="54">
        <f t="shared" si="19"/>
        <v>0</v>
      </c>
      <c r="H16" s="54">
        <f t="shared" si="19"/>
        <v>0</v>
      </c>
      <c r="I16" s="54">
        <f t="shared" si="19"/>
        <v>0</v>
      </c>
      <c r="J16" s="54">
        <f t="shared" si="19"/>
        <v>0</v>
      </c>
      <c r="K16" s="54">
        <f t="shared" si="19"/>
        <v>0</v>
      </c>
      <c r="L16" s="54">
        <f t="shared" si="19"/>
        <v>0</v>
      </c>
      <c r="M16" s="54">
        <f t="shared" si="19"/>
        <v>0</v>
      </c>
      <c r="N16" s="55">
        <f t="shared" si="19"/>
        <v>0</v>
      </c>
      <c r="O16" s="295">
        <f t="shared" si="7"/>
        <v>0</v>
      </c>
      <c r="P16" s="58" t="str">
        <f aca="true" t="shared" si="20" ref="P16:P39">IF(A16="","",A16)</f>
        <v>Total Units Sold</v>
      </c>
      <c r="Q16" s="110"/>
      <c r="R16" s="53">
        <f aca="true" t="shared" si="21" ref="R16:AC16">SUM(R8:R15)</f>
        <v>0</v>
      </c>
      <c r="S16" s="54">
        <f t="shared" si="21"/>
        <v>0</v>
      </c>
      <c r="T16" s="54">
        <f t="shared" si="21"/>
        <v>0</v>
      </c>
      <c r="U16" s="54">
        <f t="shared" si="21"/>
        <v>0</v>
      </c>
      <c r="V16" s="54">
        <f t="shared" si="21"/>
        <v>0</v>
      </c>
      <c r="W16" s="54">
        <f t="shared" si="21"/>
        <v>0</v>
      </c>
      <c r="X16" s="54">
        <f t="shared" si="21"/>
        <v>0</v>
      </c>
      <c r="Y16" s="54">
        <f t="shared" si="21"/>
        <v>0</v>
      </c>
      <c r="Z16" s="54">
        <f t="shared" si="21"/>
        <v>0</v>
      </c>
      <c r="AA16" s="54">
        <f t="shared" si="21"/>
        <v>0</v>
      </c>
      <c r="AB16" s="54">
        <f t="shared" si="21"/>
        <v>0</v>
      </c>
      <c r="AC16" s="55">
        <f t="shared" si="21"/>
        <v>0</v>
      </c>
      <c r="AD16" s="295">
        <f t="shared" si="9"/>
        <v>0</v>
      </c>
    </row>
    <row r="17" ht="18">
      <c r="P17" s="58">
        <f t="shared" si="20"/>
      </c>
    </row>
    <row r="18" ht="18">
      <c r="P18" s="58">
        <f t="shared" si="20"/>
      </c>
    </row>
    <row r="19" spans="1:29" ht="18">
      <c r="A19" s="35" t="s">
        <v>478</v>
      </c>
      <c r="C19" s="40"/>
      <c r="D19" s="40"/>
      <c r="E19" s="40"/>
      <c r="F19" s="40"/>
      <c r="G19" s="40"/>
      <c r="H19" s="40"/>
      <c r="I19" s="40"/>
      <c r="J19" s="40"/>
      <c r="K19" s="40"/>
      <c r="L19" s="40"/>
      <c r="M19" s="40"/>
      <c r="N19" s="40"/>
      <c r="P19" s="268" t="str">
        <f t="shared" si="20"/>
        <v>SALES PRICE PER UNIT (Table)</v>
      </c>
      <c r="R19" s="40"/>
      <c r="S19" s="40"/>
      <c r="T19" s="40"/>
      <c r="U19" s="40"/>
      <c r="V19" s="40"/>
      <c r="W19" s="40"/>
      <c r="X19" s="40"/>
      <c r="Y19" s="40"/>
      <c r="Z19" s="40"/>
      <c r="AA19" s="40"/>
      <c r="AB19" s="40"/>
      <c r="AC19" s="40"/>
    </row>
    <row r="20" spans="1:30" ht="18">
      <c r="A20" s="58" t="str">
        <f>+A8</f>
        <v>Product 1</v>
      </c>
      <c r="B20" s="547">
        <v>0</v>
      </c>
      <c r="C20" s="160">
        <f>+B20</f>
        <v>0</v>
      </c>
      <c r="D20" s="160">
        <f aca="true" t="shared" si="22" ref="D20:N20">+C20</f>
        <v>0</v>
      </c>
      <c r="E20" s="160">
        <f t="shared" si="22"/>
        <v>0</v>
      </c>
      <c r="F20" s="160">
        <f t="shared" si="22"/>
        <v>0</v>
      </c>
      <c r="G20" s="160">
        <f t="shared" si="22"/>
        <v>0</v>
      </c>
      <c r="H20" s="160">
        <f t="shared" si="22"/>
        <v>0</v>
      </c>
      <c r="I20" s="160">
        <f t="shared" si="22"/>
        <v>0</v>
      </c>
      <c r="J20" s="160">
        <f t="shared" si="22"/>
        <v>0</v>
      </c>
      <c r="K20" s="160">
        <f t="shared" si="22"/>
        <v>0</v>
      </c>
      <c r="L20" s="160">
        <f t="shared" si="22"/>
        <v>0</v>
      </c>
      <c r="M20" s="160">
        <f t="shared" si="22"/>
        <v>0</v>
      </c>
      <c r="N20" s="160">
        <f t="shared" si="22"/>
        <v>0</v>
      </c>
      <c r="O20" s="109"/>
      <c r="P20" s="58" t="str">
        <f t="shared" si="20"/>
        <v>Product 1</v>
      </c>
      <c r="Q20" s="515">
        <f>+B20</f>
        <v>0</v>
      </c>
      <c r="R20" s="160">
        <f>+N20</f>
        <v>0</v>
      </c>
      <c r="S20" s="160">
        <f aca="true" t="shared" si="23" ref="S20:AC20">+R20</f>
        <v>0</v>
      </c>
      <c r="T20" s="160">
        <f t="shared" si="23"/>
        <v>0</v>
      </c>
      <c r="U20" s="160">
        <f t="shared" si="23"/>
        <v>0</v>
      </c>
      <c r="V20" s="160">
        <f t="shared" si="23"/>
        <v>0</v>
      </c>
      <c r="W20" s="160">
        <f t="shared" si="23"/>
        <v>0</v>
      </c>
      <c r="X20" s="160">
        <f t="shared" si="23"/>
        <v>0</v>
      </c>
      <c r="Y20" s="160">
        <f t="shared" si="23"/>
        <v>0</v>
      </c>
      <c r="Z20" s="160">
        <f t="shared" si="23"/>
        <v>0</v>
      </c>
      <c r="AA20" s="160">
        <f t="shared" si="23"/>
        <v>0</v>
      </c>
      <c r="AB20" s="160">
        <f t="shared" si="23"/>
        <v>0</v>
      </c>
      <c r="AC20" s="160">
        <f t="shared" si="23"/>
        <v>0</v>
      </c>
      <c r="AD20" s="109"/>
    </row>
    <row r="21" spans="1:30" ht="18">
      <c r="A21" s="58" t="str">
        <f aca="true" t="shared" si="24" ref="A21:A27">+A9</f>
        <v>Product 2</v>
      </c>
      <c r="B21" s="547">
        <v>0</v>
      </c>
      <c r="C21" s="160">
        <f aca="true" t="shared" si="25" ref="C21:N21">+B21</f>
        <v>0</v>
      </c>
      <c r="D21" s="160">
        <f t="shared" si="25"/>
        <v>0</v>
      </c>
      <c r="E21" s="160">
        <f t="shared" si="25"/>
        <v>0</v>
      </c>
      <c r="F21" s="160">
        <f t="shared" si="25"/>
        <v>0</v>
      </c>
      <c r="G21" s="160">
        <f t="shared" si="25"/>
        <v>0</v>
      </c>
      <c r="H21" s="160">
        <f t="shared" si="25"/>
        <v>0</v>
      </c>
      <c r="I21" s="160">
        <f t="shared" si="25"/>
        <v>0</v>
      </c>
      <c r="J21" s="160">
        <f t="shared" si="25"/>
        <v>0</v>
      </c>
      <c r="K21" s="160">
        <f t="shared" si="25"/>
        <v>0</v>
      </c>
      <c r="L21" s="160">
        <f t="shared" si="25"/>
        <v>0</v>
      </c>
      <c r="M21" s="160">
        <f t="shared" si="25"/>
        <v>0</v>
      </c>
      <c r="N21" s="160">
        <f t="shared" si="25"/>
        <v>0</v>
      </c>
      <c r="O21" s="109"/>
      <c r="P21" s="58" t="str">
        <f t="shared" si="20"/>
        <v>Product 2</v>
      </c>
      <c r="Q21" s="515">
        <f aca="true" t="shared" si="26" ref="Q21:Q27">+B21</f>
        <v>0</v>
      </c>
      <c r="R21" s="160">
        <f aca="true" t="shared" si="27" ref="R21:R27">+N21</f>
        <v>0</v>
      </c>
      <c r="S21" s="160">
        <f aca="true" t="shared" si="28" ref="S21:AC21">+R21</f>
        <v>0</v>
      </c>
      <c r="T21" s="160">
        <f t="shared" si="28"/>
        <v>0</v>
      </c>
      <c r="U21" s="160">
        <f t="shared" si="28"/>
        <v>0</v>
      </c>
      <c r="V21" s="160">
        <f t="shared" si="28"/>
        <v>0</v>
      </c>
      <c r="W21" s="160">
        <f t="shared" si="28"/>
        <v>0</v>
      </c>
      <c r="X21" s="160">
        <f t="shared" si="28"/>
        <v>0</v>
      </c>
      <c r="Y21" s="160">
        <f t="shared" si="28"/>
        <v>0</v>
      </c>
      <c r="Z21" s="160">
        <f t="shared" si="28"/>
        <v>0</v>
      </c>
      <c r="AA21" s="160">
        <f t="shared" si="28"/>
        <v>0</v>
      </c>
      <c r="AB21" s="160">
        <f t="shared" si="28"/>
        <v>0</v>
      </c>
      <c r="AC21" s="160">
        <f t="shared" si="28"/>
        <v>0</v>
      </c>
      <c r="AD21" s="109"/>
    </row>
    <row r="22" spans="1:30" ht="18">
      <c r="A22" s="58" t="str">
        <f t="shared" si="24"/>
        <v>Product 3</v>
      </c>
      <c r="B22" s="547">
        <v>0</v>
      </c>
      <c r="C22" s="160">
        <f aca="true" t="shared" si="29" ref="C22:N22">+B22</f>
        <v>0</v>
      </c>
      <c r="D22" s="160">
        <f t="shared" si="29"/>
        <v>0</v>
      </c>
      <c r="E22" s="160">
        <f t="shared" si="29"/>
        <v>0</v>
      </c>
      <c r="F22" s="160">
        <f t="shared" si="29"/>
        <v>0</v>
      </c>
      <c r="G22" s="160">
        <f t="shared" si="29"/>
        <v>0</v>
      </c>
      <c r="H22" s="160">
        <f t="shared" si="29"/>
        <v>0</v>
      </c>
      <c r="I22" s="160">
        <f t="shared" si="29"/>
        <v>0</v>
      </c>
      <c r="J22" s="160">
        <f t="shared" si="29"/>
        <v>0</v>
      </c>
      <c r="K22" s="160">
        <f t="shared" si="29"/>
        <v>0</v>
      </c>
      <c r="L22" s="160">
        <f t="shared" si="29"/>
        <v>0</v>
      </c>
      <c r="M22" s="160">
        <f t="shared" si="29"/>
        <v>0</v>
      </c>
      <c r="N22" s="160">
        <f t="shared" si="29"/>
        <v>0</v>
      </c>
      <c r="O22" s="109"/>
      <c r="P22" s="58" t="str">
        <f t="shared" si="20"/>
        <v>Product 3</v>
      </c>
      <c r="Q22" s="515">
        <f t="shared" si="26"/>
        <v>0</v>
      </c>
      <c r="R22" s="160">
        <f t="shared" si="27"/>
        <v>0</v>
      </c>
      <c r="S22" s="160">
        <f aca="true" t="shared" si="30" ref="S22:AC22">+R22</f>
        <v>0</v>
      </c>
      <c r="T22" s="160">
        <f t="shared" si="30"/>
        <v>0</v>
      </c>
      <c r="U22" s="160">
        <f t="shared" si="30"/>
        <v>0</v>
      </c>
      <c r="V22" s="160">
        <f t="shared" si="30"/>
        <v>0</v>
      </c>
      <c r="W22" s="160">
        <f t="shared" si="30"/>
        <v>0</v>
      </c>
      <c r="X22" s="160">
        <f t="shared" si="30"/>
        <v>0</v>
      </c>
      <c r="Y22" s="160">
        <f t="shared" si="30"/>
        <v>0</v>
      </c>
      <c r="Z22" s="160">
        <f t="shared" si="30"/>
        <v>0</v>
      </c>
      <c r="AA22" s="160">
        <f t="shared" si="30"/>
        <v>0</v>
      </c>
      <c r="AB22" s="160">
        <f t="shared" si="30"/>
        <v>0</v>
      </c>
      <c r="AC22" s="160">
        <f t="shared" si="30"/>
        <v>0</v>
      </c>
      <c r="AD22" s="109"/>
    </row>
    <row r="23" spans="1:30" ht="18">
      <c r="A23" s="58" t="str">
        <f t="shared" si="24"/>
        <v>Product 4</v>
      </c>
      <c r="B23" s="547">
        <v>0</v>
      </c>
      <c r="C23" s="160">
        <f aca="true" t="shared" si="31" ref="C23:N23">+B23</f>
        <v>0</v>
      </c>
      <c r="D23" s="160">
        <f t="shared" si="31"/>
        <v>0</v>
      </c>
      <c r="E23" s="160">
        <f t="shared" si="31"/>
        <v>0</v>
      </c>
      <c r="F23" s="160">
        <f t="shared" si="31"/>
        <v>0</v>
      </c>
      <c r="G23" s="160">
        <f t="shared" si="31"/>
        <v>0</v>
      </c>
      <c r="H23" s="160">
        <f t="shared" si="31"/>
        <v>0</v>
      </c>
      <c r="I23" s="160">
        <f t="shared" si="31"/>
        <v>0</v>
      </c>
      <c r="J23" s="160">
        <f t="shared" si="31"/>
        <v>0</v>
      </c>
      <c r="K23" s="160">
        <f t="shared" si="31"/>
        <v>0</v>
      </c>
      <c r="L23" s="160">
        <f t="shared" si="31"/>
        <v>0</v>
      </c>
      <c r="M23" s="160">
        <f t="shared" si="31"/>
        <v>0</v>
      </c>
      <c r="N23" s="160">
        <f t="shared" si="31"/>
        <v>0</v>
      </c>
      <c r="O23" s="109"/>
      <c r="P23" s="58" t="str">
        <f t="shared" si="20"/>
        <v>Product 4</v>
      </c>
      <c r="Q23" s="515">
        <f t="shared" si="26"/>
        <v>0</v>
      </c>
      <c r="R23" s="160">
        <f t="shared" si="27"/>
        <v>0</v>
      </c>
      <c r="S23" s="160">
        <f aca="true" t="shared" si="32" ref="S23:AC23">+R23</f>
        <v>0</v>
      </c>
      <c r="T23" s="160">
        <f t="shared" si="32"/>
        <v>0</v>
      </c>
      <c r="U23" s="160">
        <f t="shared" si="32"/>
        <v>0</v>
      </c>
      <c r="V23" s="160">
        <f t="shared" si="32"/>
        <v>0</v>
      </c>
      <c r="W23" s="160">
        <f t="shared" si="32"/>
        <v>0</v>
      </c>
      <c r="X23" s="160">
        <f t="shared" si="32"/>
        <v>0</v>
      </c>
      <c r="Y23" s="160">
        <f t="shared" si="32"/>
        <v>0</v>
      </c>
      <c r="Z23" s="160">
        <f t="shared" si="32"/>
        <v>0</v>
      </c>
      <c r="AA23" s="160">
        <f t="shared" si="32"/>
        <v>0</v>
      </c>
      <c r="AB23" s="160">
        <f t="shared" si="32"/>
        <v>0</v>
      </c>
      <c r="AC23" s="160">
        <f t="shared" si="32"/>
        <v>0</v>
      </c>
      <c r="AD23" s="109"/>
    </row>
    <row r="24" spans="1:30" ht="18">
      <c r="A24" s="58" t="str">
        <f t="shared" si="24"/>
        <v>Product 5</v>
      </c>
      <c r="B24" s="547">
        <v>0</v>
      </c>
      <c r="C24" s="160">
        <f aca="true" t="shared" si="33" ref="C24:N24">+B24</f>
        <v>0</v>
      </c>
      <c r="D24" s="160">
        <f t="shared" si="33"/>
        <v>0</v>
      </c>
      <c r="E24" s="160">
        <f t="shared" si="33"/>
        <v>0</v>
      </c>
      <c r="F24" s="160">
        <f t="shared" si="33"/>
        <v>0</v>
      </c>
      <c r="G24" s="160">
        <f t="shared" si="33"/>
        <v>0</v>
      </c>
      <c r="H24" s="160">
        <f t="shared" si="33"/>
        <v>0</v>
      </c>
      <c r="I24" s="160">
        <f t="shared" si="33"/>
        <v>0</v>
      </c>
      <c r="J24" s="160">
        <f t="shared" si="33"/>
        <v>0</v>
      </c>
      <c r="K24" s="160">
        <f t="shared" si="33"/>
        <v>0</v>
      </c>
      <c r="L24" s="160">
        <f t="shared" si="33"/>
        <v>0</v>
      </c>
      <c r="M24" s="160">
        <f t="shared" si="33"/>
        <v>0</v>
      </c>
      <c r="N24" s="160">
        <f t="shared" si="33"/>
        <v>0</v>
      </c>
      <c r="O24" s="109"/>
      <c r="P24" s="58" t="str">
        <f t="shared" si="20"/>
        <v>Product 5</v>
      </c>
      <c r="Q24" s="515">
        <f t="shared" si="26"/>
        <v>0</v>
      </c>
      <c r="R24" s="160">
        <f t="shared" si="27"/>
        <v>0</v>
      </c>
      <c r="S24" s="160">
        <f aca="true" t="shared" si="34" ref="S24:AC24">+R24</f>
        <v>0</v>
      </c>
      <c r="T24" s="160">
        <f t="shared" si="34"/>
        <v>0</v>
      </c>
      <c r="U24" s="160">
        <f t="shared" si="34"/>
        <v>0</v>
      </c>
      <c r="V24" s="160">
        <f t="shared" si="34"/>
        <v>0</v>
      </c>
      <c r="W24" s="160">
        <f t="shared" si="34"/>
        <v>0</v>
      </c>
      <c r="X24" s="160">
        <f t="shared" si="34"/>
        <v>0</v>
      </c>
      <c r="Y24" s="160">
        <f t="shared" si="34"/>
        <v>0</v>
      </c>
      <c r="Z24" s="160">
        <f t="shared" si="34"/>
        <v>0</v>
      </c>
      <c r="AA24" s="160">
        <f t="shared" si="34"/>
        <v>0</v>
      </c>
      <c r="AB24" s="160">
        <f t="shared" si="34"/>
        <v>0</v>
      </c>
      <c r="AC24" s="160">
        <f t="shared" si="34"/>
        <v>0</v>
      </c>
      <c r="AD24" s="109"/>
    </row>
    <row r="25" spans="1:30" ht="18">
      <c r="A25" s="58" t="str">
        <f t="shared" si="24"/>
        <v>Product 6</v>
      </c>
      <c r="B25" s="547">
        <v>0</v>
      </c>
      <c r="C25" s="160">
        <f aca="true" t="shared" si="35" ref="C25:N25">+B25</f>
        <v>0</v>
      </c>
      <c r="D25" s="160">
        <f t="shared" si="35"/>
        <v>0</v>
      </c>
      <c r="E25" s="160">
        <f t="shared" si="35"/>
        <v>0</v>
      </c>
      <c r="F25" s="160">
        <f t="shared" si="35"/>
        <v>0</v>
      </c>
      <c r="G25" s="160">
        <f t="shared" si="35"/>
        <v>0</v>
      </c>
      <c r="H25" s="160">
        <f t="shared" si="35"/>
        <v>0</v>
      </c>
      <c r="I25" s="160">
        <f t="shared" si="35"/>
        <v>0</v>
      </c>
      <c r="J25" s="160">
        <f t="shared" si="35"/>
        <v>0</v>
      </c>
      <c r="K25" s="160">
        <f t="shared" si="35"/>
        <v>0</v>
      </c>
      <c r="L25" s="160">
        <f t="shared" si="35"/>
        <v>0</v>
      </c>
      <c r="M25" s="160">
        <f t="shared" si="35"/>
        <v>0</v>
      </c>
      <c r="N25" s="160">
        <f t="shared" si="35"/>
        <v>0</v>
      </c>
      <c r="O25" s="109"/>
      <c r="P25" s="58" t="str">
        <f t="shared" si="20"/>
        <v>Product 6</v>
      </c>
      <c r="Q25" s="515">
        <f t="shared" si="26"/>
        <v>0</v>
      </c>
      <c r="R25" s="160">
        <f t="shared" si="27"/>
        <v>0</v>
      </c>
      <c r="S25" s="160">
        <f aca="true" t="shared" si="36" ref="S25:AC25">+R25</f>
        <v>0</v>
      </c>
      <c r="T25" s="160">
        <f t="shared" si="36"/>
        <v>0</v>
      </c>
      <c r="U25" s="160">
        <f t="shared" si="36"/>
        <v>0</v>
      </c>
      <c r="V25" s="160">
        <f t="shared" si="36"/>
        <v>0</v>
      </c>
      <c r="W25" s="160">
        <f t="shared" si="36"/>
        <v>0</v>
      </c>
      <c r="X25" s="160">
        <f t="shared" si="36"/>
        <v>0</v>
      </c>
      <c r="Y25" s="160">
        <f t="shared" si="36"/>
        <v>0</v>
      </c>
      <c r="Z25" s="160">
        <f t="shared" si="36"/>
        <v>0</v>
      </c>
      <c r="AA25" s="160">
        <f t="shared" si="36"/>
        <v>0</v>
      </c>
      <c r="AB25" s="160">
        <f t="shared" si="36"/>
        <v>0</v>
      </c>
      <c r="AC25" s="160">
        <f t="shared" si="36"/>
        <v>0</v>
      </c>
      <c r="AD25" s="109"/>
    </row>
    <row r="26" spans="1:30" ht="18">
      <c r="A26" s="58" t="str">
        <f t="shared" si="24"/>
        <v>Product 7</v>
      </c>
      <c r="B26" s="547">
        <v>0</v>
      </c>
      <c r="C26" s="160">
        <f aca="true" t="shared" si="37" ref="C26:N26">+B26</f>
        <v>0</v>
      </c>
      <c r="D26" s="160">
        <f t="shared" si="37"/>
        <v>0</v>
      </c>
      <c r="E26" s="160">
        <f t="shared" si="37"/>
        <v>0</v>
      </c>
      <c r="F26" s="160">
        <f t="shared" si="37"/>
        <v>0</v>
      </c>
      <c r="G26" s="160">
        <f t="shared" si="37"/>
        <v>0</v>
      </c>
      <c r="H26" s="160">
        <f t="shared" si="37"/>
        <v>0</v>
      </c>
      <c r="I26" s="160">
        <f t="shared" si="37"/>
        <v>0</v>
      </c>
      <c r="J26" s="160">
        <f t="shared" si="37"/>
        <v>0</v>
      </c>
      <c r="K26" s="160">
        <f t="shared" si="37"/>
        <v>0</v>
      </c>
      <c r="L26" s="160">
        <f t="shared" si="37"/>
        <v>0</v>
      </c>
      <c r="M26" s="160">
        <f t="shared" si="37"/>
        <v>0</v>
      </c>
      <c r="N26" s="160">
        <f t="shared" si="37"/>
        <v>0</v>
      </c>
      <c r="O26" s="109"/>
      <c r="P26" s="58" t="str">
        <f t="shared" si="20"/>
        <v>Product 7</v>
      </c>
      <c r="Q26" s="515">
        <f t="shared" si="26"/>
        <v>0</v>
      </c>
      <c r="R26" s="160">
        <f t="shared" si="27"/>
        <v>0</v>
      </c>
      <c r="S26" s="160">
        <f aca="true" t="shared" si="38" ref="S26:AC26">+R26</f>
        <v>0</v>
      </c>
      <c r="T26" s="160">
        <f t="shared" si="38"/>
        <v>0</v>
      </c>
      <c r="U26" s="160">
        <f t="shared" si="38"/>
        <v>0</v>
      </c>
      <c r="V26" s="160">
        <f t="shared" si="38"/>
        <v>0</v>
      </c>
      <c r="W26" s="160">
        <f t="shared" si="38"/>
        <v>0</v>
      </c>
      <c r="X26" s="160">
        <f t="shared" si="38"/>
        <v>0</v>
      </c>
      <c r="Y26" s="160">
        <f t="shared" si="38"/>
        <v>0</v>
      </c>
      <c r="Z26" s="160">
        <f t="shared" si="38"/>
        <v>0</v>
      </c>
      <c r="AA26" s="160">
        <f t="shared" si="38"/>
        <v>0</v>
      </c>
      <c r="AB26" s="160">
        <f t="shared" si="38"/>
        <v>0</v>
      </c>
      <c r="AC26" s="160">
        <f t="shared" si="38"/>
        <v>0</v>
      </c>
      <c r="AD26" s="109"/>
    </row>
    <row r="27" spans="1:30" ht="18">
      <c r="A27" s="58" t="str">
        <f t="shared" si="24"/>
        <v>Product 8</v>
      </c>
      <c r="B27" s="547">
        <v>0</v>
      </c>
      <c r="C27" s="460">
        <f aca="true" t="shared" si="39" ref="C27:N27">+B27</f>
        <v>0</v>
      </c>
      <c r="D27" s="461">
        <f t="shared" si="39"/>
        <v>0</v>
      </c>
      <c r="E27" s="461">
        <f t="shared" si="39"/>
        <v>0</v>
      </c>
      <c r="F27" s="461">
        <f t="shared" si="39"/>
        <v>0</v>
      </c>
      <c r="G27" s="461">
        <f t="shared" si="39"/>
        <v>0</v>
      </c>
      <c r="H27" s="461">
        <f t="shared" si="39"/>
        <v>0</v>
      </c>
      <c r="I27" s="461">
        <f t="shared" si="39"/>
        <v>0</v>
      </c>
      <c r="J27" s="461">
        <f t="shared" si="39"/>
        <v>0</v>
      </c>
      <c r="K27" s="461">
        <f t="shared" si="39"/>
        <v>0</v>
      </c>
      <c r="L27" s="461">
        <f t="shared" si="39"/>
        <v>0</v>
      </c>
      <c r="M27" s="461">
        <f t="shared" si="39"/>
        <v>0</v>
      </c>
      <c r="N27" s="462">
        <f t="shared" si="39"/>
        <v>0</v>
      </c>
      <c r="O27" s="109"/>
      <c r="P27" s="58" t="str">
        <f t="shared" si="20"/>
        <v>Product 8</v>
      </c>
      <c r="Q27" s="515">
        <f t="shared" si="26"/>
        <v>0</v>
      </c>
      <c r="R27" s="460">
        <f t="shared" si="27"/>
        <v>0</v>
      </c>
      <c r="S27" s="461">
        <f aca="true" t="shared" si="40" ref="S27:AC27">+R27</f>
        <v>0</v>
      </c>
      <c r="T27" s="461">
        <f t="shared" si="40"/>
        <v>0</v>
      </c>
      <c r="U27" s="461">
        <f t="shared" si="40"/>
        <v>0</v>
      </c>
      <c r="V27" s="461">
        <f t="shared" si="40"/>
        <v>0</v>
      </c>
      <c r="W27" s="461">
        <f t="shared" si="40"/>
        <v>0</v>
      </c>
      <c r="X27" s="461">
        <f t="shared" si="40"/>
        <v>0</v>
      </c>
      <c r="Y27" s="461">
        <f t="shared" si="40"/>
        <v>0</v>
      </c>
      <c r="Z27" s="461">
        <f t="shared" si="40"/>
        <v>0</v>
      </c>
      <c r="AA27" s="461">
        <f t="shared" si="40"/>
        <v>0</v>
      </c>
      <c r="AB27" s="461">
        <f t="shared" si="40"/>
        <v>0</v>
      </c>
      <c r="AC27" s="462">
        <f t="shared" si="40"/>
        <v>0</v>
      </c>
      <c r="AD27" s="109"/>
    </row>
    <row r="28" spans="1:30" ht="18">
      <c r="A28" s="58"/>
      <c r="B28" s="516"/>
      <c r="C28" s="160"/>
      <c r="D28" s="160"/>
      <c r="E28" s="160"/>
      <c r="F28" s="160"/>
      <c r="G28" s="160"/>
      <c r="H28" s="160"/>
      <c r="I28" s="160"/>
      <c r="J28" s="160"/>
      <c r="K28" s="160"/>
      <c r="L28" s="160"/>
      <c r="M28" s="160"/>
      <c r="N28" s="160"/>
      <c r="O28" s="13"/>
      <c r="P28" s="58"/>
      <c r="Q28" s="517"/>
      <c r="R28" s="160"/>
      <c r="S28" s="160"/>
      <c r="T28" s="160"/>
      <c r="U28" s="160"/>
      <c r="V28" s="160"/>
      <c r="W28" s="160"/>
      <c r="X28" s="160"/>
      <c r="Y28" s="160"/>
      <c r="Z28" s="160"/>
      <c r="AA28" s="160"/>
      <c r="AB28" s="160"/>
      <c r="AC28" s="160"/>
      <c r="AD28" s="13"/>
    </row>
    <row r="29" spans="1:16" ht="18">
      <c r="A29" s="58"/>
      <c r="P29" s="58">
        <f t="shared" si="20"/>
      </c>
    </row>
    <row r="30" spans="1:29" ht="18">
      <c r="A30" s="268" t="s">
        <v>559</v>
      </c>
      <c r="C30" s="40"/>
      <c r="D30" s="40"/>
      <c r="E30" s="40"/>
      <c r="F30" s="40"/>
      <c r="G30" s="40"/>
      <c r="H30" s="40"/>
      <c r="I30" s="40"/>
      <c r="J30" s="40"/>
      <c r="K30" s="40"/>
      <c r="L30" s="40"/>
      <c r="M30" s="40"/>
      <c r="N30" s="40"/>
      <c r="P30" s="268" t="str">
        <f t="shared" si="20"/>
        <v>TOTAL SALES REVENUE</v>
      </c>
      <c r="R30" s="40"/>
      <c r="S30" s="40"/>
      <c r="T30" s="40"/>
      <c r="U30" s="40"/>
      <c r="V30" s="40"/>
      <c r="W30" s="40"/>
      <c r="X30" s="40"/>
      <c r="Y30" s="40"/>
      <c r="Z30" s="40"/>
      <c r="AA30" s="40"/>
      <c r="AB30" s="40"/>
      <c r="AC30" s="40"/>
    </row>
    <row r="31" spans="1:30" ht="18">
      <c r="A31" s="58" t="str">
        <f>+A8</f>
        <v>Product 1</v>
      </c>
      <c r="B31" s="110"/>
      <c r="C31" s="52">
        <f>+C8*C20</f>
        <v>0</v>
      </c>
      <c r="D31" s="52">
        <f aca="true" t="shared" si="41" ref="D31:N31">+D8*D20</f>
        <v>0</v>
      </c>
      <c r="E31" s="52">
        <f t="shared" si="41"/>
        <v>0</v>
      </c>
      <c r="F31" s="52">
        <f t="shared" si="41"/>
        <v>0</v>
      </c>
      <c r="G31" s="52">
        <f t="shared" si="41"/>
        <v>0</v>
      </c>
      <c r="H31" s="52">
        <f t="shared" si="41"/>
        <v>0</v>
      </c>
      <c r="I31" s="52">
        <f t="shared" si="41"/>
        <v>0</v>
      </c>
      <c r="J31" s="52">
        <f t="shared" si="41"/>
        <v>0</v>
      </c>
      <c r="K31" s="52">
        <f t="shared" si="41"/>
        <v>0</v>
      </c>
      <c r="L31" s="52">
        <f t="shared" si="41"/>
        <v>0</v>
      </c>
      <c r="M31" s="52">
        <f t="shared" si="41"/>
        <v>0</v>
      </c>
      <c r="N31" s="52">
        <f t="shared" si="41"/>
        <v>0</v>
      </c>
      <c r="O31" s="295">
        <f>SUM(C31:N31)</f>
        <v>0</v>
      </c>
      <c r="P31" s="58" t="str">
        <f t="shared" si="20"/>
        <v>Product 1</v>
      </c>
      <c r="Q31" s="110"/>
      <c r="R31" s="52">
        <f>+R8*R20</f>
        <v>0</v>
      </c>
      <c r="S31" s="52">
        <f aca="true" t="shared" si="42" ref="S31:AC31">+S8*S20</f>
        <v>0</v>
      </c>
      <c r="T31" s="52">
        <f t="shared" si="42"/>
        <v>0</v>
      </c>
      <c r="U31" s="52">
        <f t="shared" si="42"/>
        <v>0</v>
      </c>
      <c r="V31" s="52">
        <f t="shared" si="42"/>
        <v>0</v>
      </c>
      <c r="W31" s="52">
        <f t="shared" si="42"/>
        <v>0</v>
      </c>
      <c r="X31" s="52">
        <f t="shared" si="42"/>
        <v>0</v>
      </c>
      <c r="Y31" s="52">
        <f t="shared" si="42"/>
        <v>0</v>
      </c>
      <c r="Z31" s="52">
        <f t="shared" si="42"/>
        <v>0</v>
      </c>
      <c r="AA31" s="52">
        <f t="shared" si="42"/>
        <v>0</v>
      </c>
      <c r="AB31" s="52">
        <f t="shared" si="42"/>
        <v>0</v>
      </c>
      <c r="AC31" s="52">
        <f t="shared" si="42"/>
        <v>0</v>
      </c>
      <c r="AD31" s="295">
        <f>SUM(R31:AC31)</f>
        <v>0</v>
      </c>
    </row>
    <row r="32" spans="1:30" ht="18">
      <c r="A32" s="58" t="str">
        <f aca="true" t="shared" si="43" ref="A32:A38">+A9</f>
        <v>Product 2</v>
      </c>
      <c r="B32" s="110"/>
      <c r="C32" s="52">
        <f aca="true" t="shared" si="44" ref="C32:N36">+C9*C21</f>
        <v>0</v>
      </c>
      <c r="D32" s="52">
        <f t="shared" si="44"/>
        <v>0</v>
      </c>
      <c r="E32" s="52">
        <f t="shared" si="44"/>
        <v>0</v>
      </c>
      <c r="F32" s="52">
        <f t="shared" si="44"/>
        <v>0</v>
      </c>
      <c r="G32" s="52">
        <f t="shared" si="44"/>
        <v>0</v>
      </c>
      <c r="H32" s="52">
        <f t="shared" si="44"/>
        <v>0</v>
      </c>
      <c r="I32" s="52">
        <f t="shared" si="44"/>
        <v>0</v>
      </c>
      <c r="J32" s="52">
        <f t="shared" si="44"/>
        <v>0</v>
      </c>
      <c r="K32" s="52">
        <f t="shared" si="44"/>
        <v>0</v>
      </c>
      <c r="L32" s="52">
        <f t="shared" si="44"/>
        <v>0</v>
      </c>
      <c r="M32" s="52">
        <f t="shared" si="44"/>
        <v>0</v>
      </c>
      <c r="N32" s="52">
        <f t="shared" si="44"/>
        <v>0</v>
      </c>
      <c r="O32" s="295">
        <f aca="true" t="shared" si="45" ref="O32:O39">SUM(C32:N32)</f>
        <v>0</v>
      </c>
      <c r="P32" s="58" t="str">
        <f t="shared" si="20"/>
        <v>Product 2</v>
      </c>
      <c r="Q32" s="110"/>
      <c r="R32" s="52">
        <f aca="true" t="shared" si="46" ref="R32:AC32">+R9*R21</f>
        <v>0</v>
      </c>
      <c r="S32" s="52">
        <f t="shared" si="46"/>
        <v>0</v>
      </c>
      <c r="T32" s="52">
        <f t="shared" si="46"/>
        <v>0</v>
      </c>
      <c r="U32" s="52">
        <f t="shared" si="46"/>
        <v>0</v>
      </c>
      <c r="V32" s="52">
        <f t="shared" si="46"/>
        <v>0</v>
      </c>
      <c r="W32" s="52">
        <f t="shared" si="46"/>
        <v>0</v>
      </c>
      <c r="X32" s="52">
        <f t="shared" si="46"/>
        <v>0</v>
      </c>
      <c r="Y32" s="52">
        <f t="shared" si="46"/>
        <v>0</v>
      </c>
      <c r="Z32" s="52">
        <f t="shared" si="46"/>
        <v>0</v>
      </c>
      <c r="AA32" s="52">
        <f t="shared" si="46"/>
        <v>0</v>
      </c>
      <c r="AB32" s="52">
        <f t="shared" si="46"/>
        <v>0</v>
      </c>
      <c r="AC32" s="52">
        <f t="shared" si="46"/>
        <v>0</v>
      </c>
      <c r="AD32" s="295">
        <f aca="true" t="shared" si="47" ref="AD32:AD39">SUM(R32:AC32)</f>
        <v>0</v>
      </c>
    </row>
    <row r="33" spans="1:30" ht="18">
      <c r="A33" s="58" t="str">
        <f t="shared" si="43"/>
        <v>Product 3</v>
      </c>
      <c r="B33" s="110"/>
      <c r="C33" s="52">
        <f t="shared" si="44"/>
        <v>0</v>
      </c>
      <c r="D33" s="52">
        <f t="shared" si="44"/>
        <v>0</v>
      </c>
      <c r="E33" s="52">
        <f t="shared" si="44"/>
        <v>0</v>
      </c>
      <c r="F33" s="52">
        <f t="shared" si="44"/>
        <v>0</v>
      </c>
      <c r="G33" s="52">
        <f t="shared" si="44"/>
        <v>0</v>
      </c>
      <c r="H33" s="52">
        <f t="shared" si="44"/>
        <v>0</v>
      </c>
      <c r="I33" s="52">
        <f t="shared" si="44"/>
        <v>0</v>
      </c>
      <c r="J33" s="52">
        <f t="shared" si="44"/>
        <v>0</v>
      </c>
      <c r="K33" s="52">
        <f t="shared" si="44"/>
        <v>0</v>
      </c>
      <c r="L33" s="52">
        <f t="shared" si="44"/>
        <v>0</v>
      </c>
      <c r="M33" s="52">
        <f t="shared" si="44"/>
        <v>0</v>
      </c>
      <c r="N33" s="52">
        <f t="shared" si="44"/>
        <v>0</v>
      </c>
      <c r="O33" s="295">
        <f t="shared" si="45"/>
        <v>0</v>
      </c>
      <c r="P33" s="58" t="str">
        <f t="shared" si="20"/>
        <v>Product 3</v>
      </c>
      <c r="Q33" s="110"/>
      <c r="R33" s="52">
        <f aca="true" t="shared" si="48" ref="R33:AC33">+R10*R22</f>
        <v>0</v>
      </c>
      <c r="S33" s="52">
        <f t="shared" si="48"/>
        <v>0</v>
      </c>
      <c r="T33" s="52">
        <f t="shared" si="48"/>
        <v>0</v>
      </c>
      <c r="U33" s="52">
        <f t="shared" si="48"/>
        <v>0</v>
      </c>
      <c r="V33" s="52">
        <f t="shared" si="48"/>
        <v>0</v>
      </c>
      <c r="W33" s="52">
        <f t="shared" si="48"/>
        <v>0</v>
      </c>
      <c r="X33" s="52">
        <f t="shared" si="48"/>
        <v>0</v>
      </c>
      <c r="Y33" s="52">
        <f t="shared" si="48"/>
        <v>0</v>
      </c>
      <c r="Z33" s="52">
        <f t="shared" si="48"/>
        <v>0</v>
      </c>
      <c r="AA33" s="52">
        <f t="shared" si="48"/>
        <v>0</v>
      </c>
      <c r="AB33" s="52">
        <f t="shared" si="48"/>
        <v>0</v>
      </c>
      <c r="AC33" s="52">
        <f t="shared" si="48"/>
        <v>0</v>
      </c>
      <c r="AD33" s="295">
        <f t="shared" si="47"/>
        <v>0</v>
      </c>
    </row>
    <row r="34" spans="1:30" ht="18">
      <c r="A34" s="58" t="str">
        <f t="shared" si="43"/>
        <v>Product 4</v>
      </c>
      <c r="B34" s="110"/>
      <c r="C34" s="52">
        <f t="shared" si="44"/>
        <v>0</v>
      </c>
      <c r="D34" s="52">
        <f t="shared" si="44"/>
        <v>0</v>
      </c>
      <c r="E34" s="52">
        <f t="shared" si="44"/>
        <v>0</v>
      </c>
      <c r="F34" s="52">
        <f t="shared" si="44"/>
        <v>0</v>
      </c>
      <c r="G34" s="52">
        <f t="shared" si="44"/>
        <v>0</v>
      </c>
      <c r="H34" s="52">
        <f t="shared" si="44"/>
        <v>0</v>
      </c>
      <c r="I34" s="52">
        <f t="shared" si="44"/>
        <v>0</v>
      </c>
      <c r="J34" s="52">
        <f t="shared" si="44"/>
        <v>0</v>
      </c>
      <c r="K34" s="52">
        <f t="shared" si="44"/>
        <v>0</v>
      </c>
      <c r="L34" s="52">
        <f t="shared" si="44"/>
        <v>0</v>
      </c>
      <c r="M34" s="52">
        <f t="shared" si="44"/>
        <v>0</v>
      </c>
      <c r="N34" s="52">
        <f t="shared" si="44"/>
        <v>0</v>
      </c>
      <c r="O34" s="295">
        <f t="shared" si="45"/>
        <v>0</v>
      </c>
      <c r="P34" s="58" t="str">
        <f t="shared" si="20"/>
        <v>Product 4</v>
      </c>
      <c r="Q34" s="110"/>
      <c r="R34" s="52">
        <f aca="true" t="shared" si="49" ref="R34:AC34">+R11*R23</f>
        <v>0</v>
      </c>
      <c r="S34" s="52">
        <f t="shared" si="49"/>
        <v>0</v>
      </c>
      <c r="T34" s="52">
        <f t="shared" si="49"/>
        <v>0</v>
      </c>
      <c r="U34" s="52">
        <f t="shared" si="49"/>
        <v>0</v>
      </c>
      <c r="V34" s="52">
        <f t="shared" si="49"/>
        <v>0</v>
      </c>
      <c r="W34" s="52">
        <f t="shared" si="49"/>
        <v>0</v>
      </c>
      <c r="X34" s="52">
        <f t="shared" si="49"/>
        <v>0</v>
      </c>
      <c r="Y34" s="52">
        <f t="shared" si="49"/>
        <v>0</v>
      </c>
      <c r="Z34" s="52">
        <f t="shared" si="49"/>
        <v>0</v>
      </c>
      <c r="AA34" s="52">
        <f t="shared" si="49"/>
        <v>0</v>
      </c>
      <c r="AB34" s="52">
        <f t="shared" si="49"/>
        <v>0</v>
      </c>
      <c r="AC34" s="52">
        <f t="shared" si="49"/>
        <v>0</v>
      </c>
      <c r="AD34" s="295">
        <f t="shared" si="47"/>
        <v>0</v>
      </c>
    </row>
    <row r="35" spans="1:30" ht="18">
      <c r="A35" s="58" t="str">
        <f t="shared" si="43"/>
        <v>Product 5</v>
      </c>
      <c r="B35" s="110"/>
      <c r="C35" s="52">
        <f t="shared" si="44"/>
        <v>0</v>
      </c>
      <c r="D35" s="52">
        <f t="shared" si="44"/>
        <v>0</v>
      </c>
      <c r="E35" s="52">
        <f t="shared" si="44"/>
        <v>0</v>
      </c>
      <c r="F35" s="52">
        <f t="shared" si="44"/>
        <v>0</v>
      </c>
      <c r="G35" s="52">
        <f t="shared" si="44"/>
        <v>0</v>
      </c>
      <c r="H35" s="52">
        <f t="shared" si="44"/>
        <v>0</v>
      </c>
      <c r="I35" s="52">
        <f t="shared" si="44"/>
        <v>0</v>
      </c>
      <c r="J35" s="52">
        <f t="shared" si="44"/>
        <v>0</v>
      </c>
      <c r="K35" s="52">
        <f t="shared" si="44"/>
        <v>0</v>
      </c>
      <c r="L35" s="52">
        <f t="shared" si="44"/>
        <v>0</v>
      </c>
      <c r="M35" s="52">
        <f t="shared" si="44"/>
        <v>0</v>
      </c>
      <c r="N35" s="52">
        <f t="shared" si="44"/>
        <v>0</v>
      </c>
      <c r="O35" s="295">
        <f t="shared" si="45"/>
        <v>0</v>
      </c>
      <c r="P35" s="58" t="str">
        <f t="shared" si="20"/>
        <v>Product 5</v>
      </c>
      <c r="Q35" s="110"/>
      <c r="R35" s="52">
        <f aca="true" t="shared" si="50" ref="R35:AC35">+R12*R24</f>
        <v>0</v>
      </c>
      <c r="S35" s="52">
        <f t="shared" si="50"/>
        <v>0</v>
      </c>
      <c r="T35" s="52">
        <f t="shared" si="50"/>
        <v>0</v>
      </c>
      <c r="U35" s="52">
        <f t="shared" si="50"/>
        <v>0</v>
      </c>
      <c r="V35" s="52">
        <f t="shared" si="50"/>
        <v>0</v>
      </c>
      <c r="W35" s="52">
        <f t="shared" si="50"/>
        <v>0</v>
      </c>
      <c r="X35" s="52">
        <f t="shared" si="50"/>
        <v>0</v>
      </c>
      <c r="Y35" s="52">
        <f t="shared" si="50"/>
        <v>0</v>
      </c>
      <c r="Z35" s="52">
        <f t="shared" si="50"/>
        <v>0</v>
      </c>
      <c r="AA35" s="52">
        <f t="shared" si="50"/>
        <v>0</v>
      </c>
      <c r="AB35" s="52">
        <f t="shared" si="50"/>
        <v>0</v>
      </c>
      <c r="AC35" s="52">
        <f t="shared" si="50"/>
        <v>0</v>
      </c>
      <c r="AD35" s="295">
        <f t="shared" si="47"/>
        <v>0</v>
      </c>
    </row>
    <row r="36" spans="1:30" ht="18">
      <c r="A36" s="58" t="str">
        <f t="shared" si="43"/>
        <v>Product 6</v>
      </c>
      <c r="B36" s="110"/>
      <c r="C36" s="52">
        <f t="shared" si="44"/>
        <v>0</v>
      </c>
      <c r="D36" s="52">
        <f t="shared" si="44"/>
        <v>0</v>
      </c>
      <c r="E36" s="52">
        <f t="shared" si="44"/>
        <v>0</v>
      </c>
      <c r="F36" s="52">
        <f t="shared" si="44"/>
        <v>0</v>
      </c>
      <c r="G36" s="52">
        <f t="shared" si="44"/>
        <v>0</v>
      </c>
      <c r="H36" s="52">
        <f t="shared" si="44"/>
        <v>0</v>
      </c>
      <c r="I36" s="52">
        <f t="shared" si="44"/>
        <v>0</v>
      </c>
      <c r="J36" s="52">
        <f t="shared" si="44"/>
        <v>0</v>
      </c>
      <c r="K36" s="52">
        <f t="shared" si="44"/>
        <v>0</v>
      </c>
      <c r="L36" s="52">
        <f t="shared" si="44"/>
        <v>0</v>
      </c>
      <c r="M36" s="52">
        <f t="shared" si="44"/>
        <v>0</v>
      </c>
      <c r="N36" s="52">
        <f t="shared" si="44"/>
        <v>0</v>
      </c>
      <c r="O36" s="295">
        <f t="shared" si="45"/>
        <v>0</v>
      </c>
      <c r="P36" s="58" t="str">
        <f t="shared" si="20"/>
        <v>Product 6</v>
      </c>
      <c r="Q36" s="110"/>
      <c r="R36" s="52">
        <f aca="true" t="shared" si="51" ref="R36:AC36">+R13*R25</f>
        <v>0</v>
      </c>
      <c r="S36" s="52">
        <f t="shared" si="51"/>
        <v>0</v>
      </c>
      <c r="T36" s="52">
        <f t="shared" si="51"/>
        <v>0</v>
      </c>
      <c r="U36" s="52">
        <f t="shared" si="51"/>
        <v>0</v>
      </c>
      <c r="V36" s="52">
        <f t="shared" si="51"/>
        <v>0</v>
      </c>
      <c r="W36" s="52">
        <f t="shared" si="51"/>
        <v>0</v>
      </c>
      <c r="X36" s="52">
        <f t="shared" si="51"/>
        <v>0</v>
      </c>
      <c r="Y36" s="52">
        <f t="shared" si="51"/>
        <v>0</v>
      </c>
      <c r="Z36" s="52">
        <f t="shared" si="51"/>
        <v>0</v>
      </c>
      <c r="AA36" s="52">
        <f t="shared" si="51"/>
        <v>0</v>
      </c>
      <c r="AB36" s="52">
        <f t="shared" si="51"/>
        <v>0</v>
      </c>
      <c r="AC36" s="52">
        <f t="shared" si="51"/>
        <v>0</v>
      </c>
      <c r="AD36" s="295">
        <f t="shared" si="47"/>
        <v>0</v>
      </c>
    </row>
    <row r="37" spans="1:30" ht="18">
      <c r="A37" s="58" t="str">
        <f t="shared" si="43"/>
        <v>Product 7</v>
      </c>
      <c r="B37" s="110"/>
      <c r="C37" s="52">
        <f aca="true" t="shared" si="52" ref="C37:N37">+C14*C26</f>
        <v>0</v>
      </c>
      <c r="D37" s="52">
        <f t="shared" si="52"/>
        <v>0</v>
      </c>
      <c r="E37" s="52">
        <f t="shared" si="52"/>
        <v>0</v>
      </c>
      <c r="F37" s="52">
        <f t="shared" si="52"/>
        <v>0</v>
      </c>
      <c r="G37" s="52">
        <f t="shared" si="52"/>
        <v>0</v>
      </c>
      <c r="H37" s="52">
        <f t="shared" si="52"/>
        <v>0</v>
      </c>
      <c r="I37" s="52">
        <f t="shared" si="52"/>
        <v>0</v>
      </c>
      <c r="J37" s="52">
        <f t="shared" si="52"/>
        <v>0</v>
      </c>
      <c r="K37" s="52">
        <f t="shared" si="52"/>
        <v>0</v>
      </c>
      <c r="L37" s="52">
        <f t="shared" si="52"/>
        <v>0</v>
      </c>
      <c r="M37" s="52">
        <f t="shared" si="52"/>
        <v>0</v>
      </c>
      <c r="N37" s="52">
        <f t="shared" si="52"/>
        <v>0</v>
      </c>
      <c r="O37" s="295">
        <f t="shared" si="45"/>
        <v>0</v>
      </c>
      <c r="P37" s="58" t="str">
        <f t="shared" si="20"/>
        <v>Product 7</v>
      </c>
      <c r="Q37" s="110"/>
      <c r="R37" s="52">
        <f aca="true" t="shared" si="53" ref="R37:AC37">+R14*R26</f>
        <v>0</v>
      </c>
      <c r="S37" s="52">
        <f t="shared" si="53"/>
        <v>0</v>
      </c>
      <c r="T37" s="52">
        <f t="shared" si="53"/>
        <v>0</v>
      </c>
      <c r="U37" s="52">
        <f t="shared" si="53"/>
        <v>0</v>
      </c>
      <c r="V37" s="52">
        <f t="shared" si="53"/>
        <v>0</v>
      </c>
      <c r="W37" s="52">
        <f t="shared" si="53"/>
        <v>0</v>
      </c>
      <c r="X37" s="52">
        <f t="shared" si="53"/>
        <v>0</v>
      </c>
      <c r="Y37" s="52">
        <f t="shared" si="53"/>
        <v>0</v>
      </c>
      <c r="Z37" s="52">
        <f t="shared" si="53"/>
        <v>0</v>
      </c>
      <c r="AA37" s="52">
        <f t="shared" si="53"/>
        <v>0</v>
      </c>
      <c r="AB37" s="52">
        <f t="shared" si="53"/>
        <v>0</v>
      </c>
      <c r="AC37" s="52">
        <f t="shared" si="53"/>
        <v>0</v>
      </c>
      <c r="AD37" s="295">
        <f t="shared" si="47"/>
        <v>0</v>
      </c>
    </row>
    <row r="38" spans="1:30" ht="18.75" thickBot="1">
      <c r="A38" s="58" t="str">
        <f t="shared" si="43"/>
        <v>Product 8</v>
      </c>
      <c r="B38" s="39"/>
      <c r="C38" s="52">
        <f aca="true" t="shared" si="54" ref="C38:N38">+C15*C27</f>
        <v>0</v>
      </c>
      <c r="D38" s="52">
        <f t="shared" si="54"/>
        <v>0</v>
      </c>
      <c r="E38" s="52">
        <f t="shared" si="54"/>
        <v>0</v>
      </c>
      <c r="F38" s="52">
        <f t="shared" si="54"/>
        <v>0</v>
      </c>
      <c r="G38" s="52">
        <f t="shared" si="54"/>
        <v>0</v>
      </c>
      <c r="H38" s="52">
        <f t="shared" si="54"/>
        <v>0</v>
      </c>
      <c r="I38" s="52">
        <f t="shared" si="54"/>
        <v>0</v>
      </c>
      <c r="J38" s="52">
        <f t="shared" si="54"/>
        <v>0</v>
      </c>
      <c r="K38" s="52">
        <f t="shared" si="54"/>
        <v>0</v>
      </c>
      <c r="L38" s="52">
        <f t="shared" si="54"/>
        <v>0</v>
      </c>
      <c r="M38" s="52">
        <f t="shared" si="54"/>
        <v>0</v>
      </c>
      <c r="N38" s="52">
        <f t="shared" si="54"/>
        <v>0</v>
      </c>
      <c r="O38" s="79">
        <f t="shared" si="45"/>
        <v>0</v>
      </c>
      <c r="P38" s="459" t="str">
        <f t="shared" si="20"/>
        <v>Product 8</v>
      </c>
      <c r="Q38" s="39"/>
      <c r="R38" s="295">
        <f aca="true" t="shared" si="55" ref="R38:AC38">+R15*R27</f>
        <v>0</v>
      </c>
      <c r="S38" s="52">
        <f t="shared" si="55"/>
        <v>0</v>
      </c>
      <c r="T38" s="52">
        <f t="shared" si="55"/>
        <v>0</v>
      </c>
      <c r="U38" s="52">
        <f t="shared" si="55"/>
        <v>0</v>
      </c>
      <c r="V38" s="52">
        <f t="shared" si="55"/>
        <v>0</v>
      </c>
      <c r="W38" s="52">
        <f t="shared" si="55"/>
        <v>0</v>
      </c>
      <c r="X38" s="52">
        <f t="shared" si="55"/>
        <v>0</v>
      </c>
      <c r="Y38" s="52">
        <f t="shared" si="55"/>
        <v>0</v>
      </c>
      <c r="Z38" s="52">
        <f t="shared" si="55"/>
        <v>0</v>
      </c>
      <c r="AA38" s="52">
        <f t="shared" si="55"/>
        <v>0</v>
      </c>
      <c r="AB38" s="52">
        <f t="shared" si="55"/>
        <v>0</v>
      </c>
      <c r="AC38" s="463">
        <f t="shared" si="55"/>
        <v>0</v>
      </c>
      <c r="AD38" s="79">
        <f t="shared" si="47"/>
        <v>0</v>
      </c>
    </row>
    <row r="39" spans="1:30" ht="18.75" thickBot="1">
      <c r="A39" s="649" t="s">
        <v>9</v>
      </c>
      <c r="B39" s="13"/>
      <c r="C39" s="544">
        <f>SUM(C31:C38)</f>
        <v>0</v>
      </c>
      <c r="D39" s="545">
        <f aca="true" t="shared" si="56" ref="D39:N39">SUM(D31:D38)</f>
        <v>0</v>
      </c>
      <c r="E39" s="545">
        <f t="shared" si="56"/>
        <v>0</v>
      </c>
      <c r="F39" s="545">
        <f t="shared" si="56"/>
        <v>0</v>
      </c>
      <c r="G39" s="545">
        <f t="shared" si="56"/>
        <v>0</v>
      </c>
      <c r="H39" s="545">
        <f t="shared" si="56"/>
        <v>0</v>
      </c>
      <c r="I39" s="545">
        <f t="shared" si="56"/>
        <v>0</v>
      </c>
      <c r="J39" s="545">
        <f t="shared" si="56"/>
        <v>0</v>
      </c>
      <c r="K39" s="545">
        <f t="shared" si="56"/>
        <v>0</v>
      </c>
      <c r="L39" s="545">
        <f t="shared" si="56"/>
        <v>0</v>
      </c>
      <c r="M39" s="545">
        <f t="shared" si="56"/>
        <v>0</v>
      </c>
      <c r="N39" s="546">
        <f t="shared" si="56"/>
        <v>0</v>
      </c>
      <c r="O39" s="52">
        <f t="shared" si="45"/>
        <v>0</v>
      </c>
      <c r="P39" s="58" t="str">
        <f t="shared" si="20"/>
        <v>Total Revenue</v>
      </c>
      <c r="Q39" s="13"/>
      <c r="R39" s="544">
        <f aca="true" t="shared" si="57" ref="R39:AC39">SUM(R31:R38)</f>
        <v>0</v>
      </c>
      <c r="S39" s="545">
        <f t="shared" si="57"/>
        <v>0</v>
      </c>
      <c r="T39" s="545">
        <f t="shared" si="57"/>
        <v>0</v>
      </c>
      <c r="U39" s="545">
        <f t="shared" si="57"/>
        <v>0</v>
      </c>
      <c r="V39" s="545">
        <f t="shared" si="57"/>
        <v>0</v>
      </c>
      <c r="W39" s="545">
        <f t="shared" si="57"/>
        <v>0</v>
      </c>
      <c r="X39" s="545">
        <f t="shared" si="57"/>
        <v>0</v>
      </c>
      <c r="Y39" s="545">
        <f t="shared" si="57"/>
        <v>0</v>
      </c>
      <c r="Z39" s="545">
        <f t="shared" si="57"/>
        <v>0</v>
      </c>
      <c r="AA39" s="545">
        <f t="shared" si="57"/>
        <v>0</v>
      </c>
      <c r="AB39" s="545">
        <f t="shared" si="57"/>
        <v>0</v>
      </c>
      <c r="AC39" s="546">
        <f t="shared" si="57"/>
        <v>0</v>
      </c>
      <c r="AD39" s="52">
        <f t="shared" si="47"/>
        <v>0</v>
      </c>
    </row>
    <row r="40" spans="3:14" ht="18">
      <c r="C40" s="13"/>
      <c r="D40" s="13"/>
      <c r="E40" s="13"/>
      <c r="F40" s="13"/>
      <c r="G40" s="13"/>
      <c r="H40" s="13"/>
      <c r="I40" s="13"/>
      <c r="J40" s="13"/>
      <c r="K40" s="13"/>
      <c r="L40" s="13"/>
      <c r="M40" s="13"/>
      <c r="N40" s="13"/>
    </row>
    <row r="42" spans="1:30" s="250" customFormat="1" ht="18">
      <c r="A42" s="382"/>
      <c r="B42" s="383"/>
      <c r="C42" s="437"/>
      <c r="D42" s="437"/>
      <c r="E42" s="437"/>
      <c r="F42" s="437"/>
      <c r="G42" s="437"/>
      <c r="H42" s="437"/>
      <c r="I42" s="437"/>
      <c r="J42" s="437"/>
      <c r="K42" s="437"/>
      <c r="L42" s="437"/>
      <c r="M42" s="437"/>
      <c r="N42" s="437"/>
      <c r="O42" s="384"/>
      <c r="P42" s="440"/>
      <c r="Q42" s="383"/>
      <c r="R42" s="437"/>
      <c r="S42" s="437"/>
      <c r="T42" s="437"/>
      <c r="U42" s="437"/>
      <c r="V42" s="437"/>
      <c r="W42" s="437"/>
      <c r="X42" s="437"/>
      <c r="Y42" s="437"/>
      <c r="Z42" s="437"/>
      <c r="AA42" s="437"/>
      <c r="AB42" s="437"/>
      <c r="AC42" s="437"/>
      <c r="AD42" s="384"/>
    </row>
    <row r="43" spans="1:30" s="250" customFormat="1" ht="18">
      <c r="A43" s="382" t="s">
        <v>443</v>
      </c>
      <c r="B43" s="383"/>
      <c r="C43" s="508"/>
      <c r="D43" s="508"/>
      <c r="E43" s="508"/>
      <c r="F43" s="508"/>
      <c r="G43" s="508"/>
      <c r="H43" s="508"/>
      <c r="I43" s="508"/>
      <c r="J43" s="508"/>
      <c r="K43" s="508"/>
      <c r="L43" s="508"/>
      <c r="M43" s="508"/>
      <c r="N43" s="508"/>
      <c r="O43" s="384"/>
      <c r="P43" s="438" t="str">
        <f aca="true" t="shared" si="58" ref="P43:P55">IF(A43="","",+A43)</f>
        <v>COST OF SALES (%)</v>
      </c>
      <c r="Q43" s="383"/>
      <c r="R43" s="508"/>
      <c r="S43" s="508"/>
      <c r="T43" s="508"/>
      <c r="U43" s="508"/>
      <c r="V43" s="508"/>
      <c r="W43" s="508"/>
      <c r="X43" s="508"/>
      <c r="Y43" s="508"/>
      <c r="Z43" s="508"/>
      <c r="AA43" s="508"/>
      <c r="AB43" s="508"/>
      <c r="AC43" s="508"/>
      <c r="AD43" s="384"/>
    </row>
    <row r="44" spans="1:30" s="250" customFormat="1" ht="18">
      <c r="A44" s="440" t="str">
        <f aca="true" t="shared" si="59" ref="A44:A51">+A8</f>
        <v>Product 1</v>
      </c>
      <c r="B44" s="635">
        <v>0.5</v>
      </c>
      <c r="C44" s="447">
        <f aca="true" t="shared" si="60" ref="C44:N51">+$B44*C31</f>
        <v>0</v>
      </c>
      <c r="D44" s="447">
        <f t="shared" si="60"/>
        <v>0</v>
      </c>
      <c r="E44" s="447">
        <f t="shared" si="60"/>
        <v>0</v>
      </c>
      <c r="F44" s="447">
        <f t="shared" si="60"/>
        <v>0</v>
      </c>
      <c r="G44" s="447">
        <f t="shared" si="60"/>
        <v>0</v>
      </c>
      <c r="H44" s="447">
        <f t="shared" si="60"/>
        <v>0</v>
      </c>
      <c r="I44" s="447">
        <f t="shared" si="60"/>
        <v>0</v>
      </c>
      <c r="J44" s="447">
        <f t="shared" si="60"/>
        <v>0</v>
      </c>
      <c r="K44" s="447">
        <f t="shared" si="60"/>
        <v>0</v>
      </c>
      <c r="L44" s="447">
        <f t="shared" si="60"/>
        <v>0</v>
      </c>
      <c r="M44" s="447">
        <f t="shared" si="60"/>
        <v>0</v>
      </c>
      <c r="N44" s="447">
        <f t="shared" si="60"/>
        <v>0</v>
      </c>
      <c r="O44" s="295">
        <f>SUM(C44:N44)</f>
        <v>0</v>
      </c>
      <c r="P44" s="440" t="str">
        <f t="shared" si="58"/>
        <v>Product 1</v>
      </c>
      <c r="Q44" s="636">
        <f>+B44</f>
        <v>0.5</v>
      </c>
      <c r="R44" s="447">
        <f>+$B44*R31</f>
        <v>0</v>
      </c>
      <c r="S44" s="447">
        <f aca="true" t="shared" si="61" ref="S44:AC44">+$B44*S31</f>
        <v>0</v>
      </c>
      <c r="T44" s="447">
        <f t="shared" si="61"/>
        <v>0</v>
      </c>
      <c r="U44" s="447">
        <f t="shared" si="61"/>
        <v>0</v>
      </c>
      <c r="V44" s="447">
        <f t="shared" si="61"/>
        <v>0</v>
      </c>
      <c r="W44" s="447">
        <f t="shared" si="61"/>
        <v>0</v>
      </c>
      <c r="X44" s="447">
        <f t="shared" si="61"/>
        <v>0</v>
      </c>
      <c r="Y44" s="447">
        <f t="shared" si="61"/>
        <v>0</v>
      </c>
      <c r="Z44" s="447">
        <f t="shared" si="61"/>
        <v>0</v>
      </c>
      <c r="AA44" s="447">
        <f t="shared" si="61"/>
        <v>0</v>
      </c>
      <c r="AB44" s="447">
        <f t="shared" si="61"/>
        <v>0</v>
      </c>
      <c r="AC44" s="447">
        <f t="shared" si="61"/>
        <v>0</v>
      </c>
      <c r="AD44" s="295">
        <f>SUM(R44:AC44)</f>
        <v>0</v>
      </c>
    </row>
    <row r="45" spans="1:30" s="250" customFormat="1" ht="18">
      <c r="A45" s="440" t="str">
        <f t="shared" si="59"/>
        <v>Product 2</v>
      </c>
      <c r="B45" s="636">
        <f>+B44</f>
        <v>0.5</v>
      </c>
      <c r="C45" s="447">
        <f t="shared" si="60"/>
        <v>0</v>
      </c>
      <c r="D45" s="447">
        <f t="shared" si="60"/>
        <v>0</v>
      </c>
      <c r="E45" s="447">
        <f t="shared" si="60"/>
        <v>0</v>
      </c>
      <c r="F45" s="447">
        <f t="shared" si="60"/>
        <v>0</v>
      </c>
      <c r="G45" s="447">
        <f t="shared" si="60"/>
        <v>0</v>
      </c>
      <c r="H45" s="447">
        <f t="shared" si="60"/>
        <v>0</v>
      </c>
      <c r="I45" s="447">
        <f t="shared" si="60"/>
        <v>0</v>
      </c>
      <c r="J45" s="447">
        <f t="shared" si="60"/>
        <v>0</v>
      </c>
      <c r="K45" s="447">
        <f t="shared" si="60"/>
        <v>0</v>
      </c>
      <c r="L45" s="447">
        <f t="shared" si="60"/>
        <v>0</v>
      </c>
      <c r="M45" s="447">
        <f t="shared" si="60"/>
        <v>0</v>
      </c>
      <c r="N45" s="447">
        <f t="shared" si="60"/>
        <v>0</v>
      </c>
      <c r="O45" s="295">
        <f aca="true" t="shared" si="62" ref="O45:O51">SUM(C45:N45)</f>
        <v>0</v>
      </c>
      <c r="P45" s="440" t="str">
        <f t="shared" si="58"/>
        <v>Product 2</v>
      </c>
      <c r="Q45" s="636">
        <f aca="true" t="shared" si="63" ref="Q45:Q51">+B45</f>
        <v>0.5</v>
      </c>
      <c r="R45" s="447">
        <f aca="true" t="shared" si="64" ref="R45:AC51">+$B45*R32</f>
        <v>0</v>
      </c>
      <c r="S45" s="447">
        <f t="shared" si="64"/>
        <v>0</v>
      </c>
      <c r="T45" s="447">
        <f t="shared" si="64"/>
        <v>0</v>
      </c>
      <c r="U45" s="447">
        <f t="shared" si="64"/>
        <v>0</v>
      </c>
      <c r="V45" s="447">
        <f t="shared" si="64"/>
        <v>0</v>
      </c>
      <c r="W45" s="447">
        <f t="shared" si="64"/>
        <v>0</v>
      </c>
      <c r="X45" s="447">
        <f t="shared" si="64"/>
        <v>0</v>
      </c>
      <c r="Y45" s="447">
        <f t="shared" si="64"/>
        <v>0</v>
      </c>
      <c r="Z45" s="447">
        <f t="shared" si="64"/>
        <v>0</v>
      </c>
      <c r="AA45" s="447">
        <f t="shared" si="64"/>
        <v>0</v>
      </c>
      <c r="AB45" s="447">
        <f t="shared" si="64"/>
        <v>0</v>
      </c>
      <c r="AC45" s="447">
        <f t="shared" si="64"/>
        <v>0</v>
      </c>
      <c r="AD45" s="295">
        <f aca="true" t="shared" si="65" ref="AD45:AD51">SUM(R45:AC45)</f>
        <v>0</v>
      </c>
    </row>
    <row r="46" spans="1:30" s="250" customFormat="1" ht="18">
      <c r="A46" s="440" t="str">
        <f t="shared" si="59"/>
        <v>Product 3</v>
      </c>
      <c r="B46" s="636">
        <f aca="true" t="shared" si="66" ref="B46:B51">+B45</f>
        <v>0.5</v>
      </c>
      <c r="C46" s="447">
        <f t="shared" si="60"/>
        <v>0</v>
      </c>
      <c r="D46" s="447">
        <f t="shared" si="60"/>
        <v>0</v>
      </c>
      <c r="E46" s="447">
        <f t="shared" si="60"/>
        <v>0</v>
      </c>
      <c r="F46" s="447">
        <f t="shared" si="60"/>
        <v>0</v>
      </c>
      <c r="G46" s="447">
        <f t="shared" si="60"/>
        <v>0</v>
      </c>
      <c r="H46" s="447">
        <f t="shared" si="60"/>
        <v>0</v>
      </c>
      <c r="I46" s="447">
        <f t="shared" si="60"/>
        <v>0</v>
      </c>
      <c r="J46" s="447">
        <f t="shared" si="60"/>
        <v>0</v>
      </c>
      <c r="K46" s="447">
        <f t="shared" si="60"/>
        <v>0</v>
      </c>
      <c r="L46" s="447">
        <f t="shared" si="60"/>
        <v>0</v>
      </c>
      <c r="M46" s="447">
        <f t="shared" si="60"/>
        <v>0</v>
      </c>
      <c r="N46" s="447">
        <f t="shared" si="60"/>
        <v>0</v>
      </c>
      <c r="O46" s="295">
        <f t="shared" si="62"/>
        <v>0</v>
      </c>
      <c r="P46" s="440" t="str">
        <f t="shared" si="58"/>
        <v>Product 3</v>
      </c>
      <c r="Q46" s="636">
        <f t="shared" si="63"/>
        <v>0.5</v>
      </c>
      <c r="R46" s="447">
        <f t="shared" si="64"/>
        <v>0</v>
      </c>
      <c r="S46" s="447">
        <f t="shared" si="64"/>
        <v>0</v>
      </c>
      <c r="T46" s="447">
        <f t="shared" si="64"/>
        <v>0</v>
      </c>
      <c r="U46" s="447">
        <f t="shared" si="64"/>
        <v>0</v>
      </c>
      <c r="V46" s="447">
        <f t="shared" si="64"/>
        <v>0</v>
      </c>
      <c r="W46" s="447">
        <f t="shared" si="64"/>
        <v>0</v>
      </c>
      <c r="X46" s="447">
        <f t="shared" si="64"/>
        <v>0</v>
      </c>
      <c r="Y46" s="447">
        <f t="shared" si="64"/>
        <v>0</v>
      </c>
      <c r="Z46" s="447">
        <f t="shared" si="64"/>
        <v>0</v>
      </c>
      <c r="AA46" s="447">
        <f t="shared" si="64"/>
        <v>0</v>
      </c>
      <c r="AB46" s="447">
        <f t="shared" si="64"/>
        <v>0</v>
      </c>
      <c r="AC46" s="447">
        <f t="shared" si="64"/>
        <v>0</v>
      </c>
      <c r="AD46" s="295">
        <f t="shared" si="65"/>
        <v>0</v>
      </c>
    </row>
    <row r="47" spans="1:30" s="250" customFormat="1" ht="18">
      <c r="A47" s="440" t="str">
        <f t="shared" si="59"/>
        <v>Product 4</v>
      </c>
      <c r="B47" s="636">
        <f t="shared" si="66"/>
        <v>0.5</v>
      </c>
      <c r="C47" s="447">
        <f t="shared" si="60"/>
        <v>0</v>
      </c>
      <c r="D47" s="447">
        <f t="shared" si="60"/>
        <v>0</v>
      </c>
      <c r="E47" s="447">
        <f t="shared" si="60"/>
        <v>0</v>
      </c>
      <c r="F47" s="447">
        <f t="shared" si="60"/>
        <v>0</v>
      </c>
      <c r="G47" s="447">
        <f t="shared" si="60"/>
        <v>0</v>
      </c>
      <c r="H47" s="447">
        <f t="shared" si="60"/>
        <v>0</v>
      </c>
      <c r="I47" s="447">
        <f t="shared" si="60"/>
        <v>0</v>
      </c>
      <c r="J47" s="447">
        <f t="shared" si="60"/>
        <v>0</v>
      </c>
      <c r="K47" s="447">
        <f t="shared" si="60"/>
        <v>0</v>
      </c>
      <c r="L47" s="447">
        <f t="shared" si="60"/>
        <v>0</v>
      </c>
      <c r="M47" s="447">
        <f t="shared" si="60"/>
        <v>0</v>
      </c>
      <c r="N47" s="447">
        <f t="shared" si="60"/>
        <v>0</v>
      </c>
      <c r="O47" s="295">
        <f t="shared" si="62"/>
        <v>0</v>
      </c>
      <c r="P47" s="440" t="str">
        <f t="shared" si="58"/>
        <v>Product 4</v>
      </c>
      <c r="Q47" s="636">
        <f t="shared" si="63"/>
        <v>0.5</v>
      </c>
      <c r="R47" s="447">
        <f t="shared" si="64"/>
        <v>0</v>
      </c>
      <c r="S47" s="447">
        <f t="shared" si="64"/>
        <v>0</v>
      </c>
      <c r="T47" s="447">
        <f t="shared" si="64"/>
        <v>0</v>
      </c>
      <c r="U47" s="447">
        <f t="shared" si="64"/>
        <v>0</v>
      </c>
      <c r="V47" s="447">
        <f t="shared" si="64"/>
        <v>0</v>
      </c>
      <c r="W47" s="447">
        <f t="shared" si="64"/>
        <v>0</v>
      </c>
      <c r="X47" s="447">
        <f t="shared" si="64"/>
        <v>0</v>
      </c>
      <c r="Y47" s="447">
        <f t="shared" si="64"/>
        <v>0</v>
      </c>
      <c r="Z47" s="447">
        <f t="shared" si="64"/>
        <v>0</v>
      </c>
      <c r="AA47" s="447">
        <f t="shared" si="64"/>
        <v>0</v>
      </c>
      <c r="AB47" s="447">
        <f t="shared" si="64"/>
        <v>0</v>
      </c>
      <c r="AC47" s="447">
        <f t="shared" si="64"/>
        <v>0</v>
      </c>
      <c r="AD47" s="295">
        <f t="shared" si="65"/>
        <v>0</v>
      </c>
    </row>
    <row r="48" spans="1:30" s="250" customFormat="1" ht="18">
      <c r="A48" s="440" t="str">
        <f t="shared" si="59"/>
        <v>Product 5</v>
      </c>
      <c r="B48" s="636">
        <f t="shared" si="66"/>
        <v>0.5</v>
      </c>
      <c r="C48" s="447">
        <f t="shared" si="60"/>
        <v>0</v>
      </c>
      <c r="D48" s="447">
        <f t="shared" si="60"/>
        <v>0</v>
      </c>
      <c r="E48" s="447">
        <f t="shared" si="60"/>
        <v>0</v>
      </c>
      <c r="F48" s="447">
        <f t="shared" si="60"/>
        <v>0</v>
      </c>
      <c r="G48" s="447">
        <f t="shared" si="60"/>
        <v>0</v>
      </c>
      <c r="H48" s="447">
        <f t="shared" si="60"/>
        <v>0</v>
      </c>
      <c r="I48" s="447">
        <f t="shared" si="60"/>
        <v>0</v>
      </c>
      <c r="J48" s="447">
        <f t="shared" si="60"/>
        <v>0</v>
      </c>
      <c r="K48" s="447">
        <f t="shared" si="60"/>
        <v>0</v>
      </c>
      <c r="L48" s="447">
        <f t="shared" si="60"/>
        <v>0</v>
      </c>
      <c r="M48" s="447">
        <f t="shared" si="60"/>
        <v>0</v>
      </c>
      <c r="N48" s="447">
        <f t="shared" si="60"/>
        <v>0</v>
      </c>
      <c r="O48" s="295">
        <f t="shared" si="62"/>
        <v>0</v>
      </c>
      <c r="P48" s="440" t="str">
        <f t="shared" si="58"/>
        <v>Product 5</v>
      </c>
      <c r="Q48" s="636">
        <f t="shared" si="63"/>
        <v>0.5</v>
      </c>
      <c r="R48" s="447">
        <f t="shared" si="64"/>
        <v>0</v>
      </c>
      <c r="S48" s="447">
        <f t="shared" si="64"/>
        <v>0</v>
      </c>
      <c r="T48" s="447">
        <f t="shared" si="64"/>
        <v>0</v>
      </c>
      <c r="U48" s="447">
        <f t="shared" si="64"/>
        <v>0</v>
      </c>
      <c r="V48" s="447">
        <f t="shared" si="64"/>
        <v>0</v>
      </c>
      <c r="W48" s="447">
        <f t="shared" si="64"/>
        <v>0</v>
      </c>
      <c r="X48" s="447">
        <f t="shared" si="64"/>
        <v>0</v>
      </c>
      <c r="Y48" s="447">
        <f t="shared" si="64"/>
        <v>0</v>
      </c>
      <c r="Z48" s="447">
        <f t="shared" si="64"/>
        <v>0</v>
      </c>
      <c r="AA48" s="447">
        <f t="shared" si="64"/>
        <v>0</v>
      </c>
      <c r="AB48" s="447">
        <f t="shared" si="64"/>
        <v>0</v>
      </c>
      <c r="AC48" s="447">
        <f t="shared" si="64"/>
        <v>0</v>
      </c>
      <c r="AD48" s="295">
        <f t="shared" si="65"/>
        <v>0</v>
      </c>
    </row>
    <row r="49" spans="1:30" s="250" customFormat="1" ht="18">
      <c r="A49" s="440" t="str">
        <f t="shared" si="59"/>
        <v>Product 6</v>
      </c>
      <c r="B49" s="636">
        <f t="shared" si="66"/>
        <v>0.5</v>
      </c>
      <c r="C49" s="447">
        <f t="shared" si="60"/>
        <v>0</v>
      </c>
      <c r="D49" s="447">
        <f t="shared" si="60"/>
        <v>0</v>
      </c>
      <c r="E49" s="447">
        <f t="shared" si="60"/>
        <v>0</v>
      </c>
      <c r="F49" s="447">
        <f t="shared" si="60"/>
        <v>0</v>
      </c>
      <c r="G49" s="447">
        <f t="shared" si="60"/>
        <v>0</v>
      </c>
      <c r="H49" s="447">
        <f t="shared" si="60"/>
        <v>0</v>
      </c>
      <c r="I49" s="447">
        <f t="shared" si="60"/>
        <v>0</v>
      </c>
      <c r="J49" s="447">
        <f t="shared" si="60"/>
        <v>0</v>
      </c>
      <c r="K49" s="447">
        <f t="shared" si="60"/>
        <v>0</v>
      </c>
      <c r="L49" s="447">
        <f t="shared" si="60"/>
        <v>0</v>
      </c>
      <c r="M49" s="447">
        <f t="shared" si="60"/>
        <v>0</v>
      </c>
      <c r="N49" s="447">
        <f t="shared" si="60"/>
        <v>0</v>
      </c>
      <c r="O49" s="295">
        <f t="shared" si="62"/>
        <v>0</v>
      </c>
      <c r="P49" s="440" t="str">
        <f t="shared" si="58"/>
        <v>Product 6</v>
      </c>
      <c r="Q49" s="636">
        <f t="shared" si="63"/>
        <v>0.5</v>
      </c>
      <c r="R49" s="447">
        <f t="shared" si="64"/>
        <v>0</v>
      </c>
      <c r="S49" s="447">
        <f t="shared" si="64"/>
        <v>0</v>
      </c>
      <c r="T49" s="447">
        <f t="shared" si="64"/>
        <v>0</v>
      </c>
      <c r="U49" s="447">
        <f t="shared" si="64"/>
        <v>0</v>
      </c>
      <c r="V49" s="447">
        <f t="shared" si="64"/>
        <v>0</v>
      </c>
      <c r="W49" s="447">
        <f t="shared" si="64"/>
        <v>0</v>
      </c>
      <c r="X49" s="447">
        <f t="shared" si="64"/>
        <v>0</v>
      </c>
      <c r="Y49" s="447">
        <f t="shared" si="64"/>
        <v>0</v>
      </c>
      <c r="Z49" s="447">
        <f t="shared" si="64"/>
        <v>0</v>
      </c>
      <c r="AA49" s="447">
        <f t="shared" si="64"/>
        <v>0</v>
      </c>
      <c r="AB49" s="447">
        <f t="shared" si="64"/>
        <v>0</v>
      </c>
      <c r="AC49" s="447">
        <f t="shared" si="64"/>
        <v>0</v>
      </c>
      <c r="AD49" s="295">
        <f t="shared" si="65"/>
        <v>0</v>
      </c>
    </row>
    <row r="50" spans="1:30" s="250" customFormat="1" ht="18">
      <c r="A50" s="440" t="str">
        <f t="shared" si="59"/>
        <v>Product 7</v>
      </c>
      <c r="B50" s="636">
        <f t="shared" si="66"/>
        <v>0.5</v>
      </c>
      <c r="C50" s="447">
        <f t="shared" si="60"/>
        <v>0</v>
      </c>
      <c r="D50" s="447">
        <f t="shared" si="60"/>
        <v>0</v>
      </c>
      <c r="E50" s="447">
        <f t="shared" si="60"/>
        <v>0</v>
      </c>
      <c r="F50" s="447">
        <f t="shared" si="60"/>
        <v>0</v>
      </c>
      <c r="G50" s="447">
        <f t="shared" si="60"/>
        <v>0</v>
      </c>
      <c r="H50" s="447">
        <f t="shared" si="60"/>
        <v>0</v>
      </c>
      <c r="I50" s="447">
        <f t="shared" si="60"/>
        <v>0</v>
      </c>
      <c r="J50" s="447">
        <f t="shared" si="60"/>
        <v>0</v>
      </c>
      <c r="K50" s="447">
        <f t="shared" si="60"/>
        <v>0</v>
      </c>
      <c r="L50" s="447">
        <f t="shared" si="60"/>
        <v>0</v>
      </c>
      <c r="M50" s="447">
        <f t="shared" si="60"/>
        <v>0</v>
      </c>
      <c r="N50" s="447">
        <f t="shared" si="60"/>
        <v>0</v>
      </c>
      <c r="O50" s="295">
        <f t="shared" si="62"/>
        <v>0</v>
      </c>
      <c r="P50" s="440" t="str">
        <f t="shared" si="58"/>
        <v>Product 7</v>
      </c>
      <c r="Q50" s="636">
        <f t="shared" si="63"/>
        <v>0.5</v>
      </c>
      <c r="R50" s="447">
        <f t="shared" si="64"/>
        <v>0</v>
      </c>
      <c r="S50" s="447">
        <f t="shared" si="64"/>
        <v>0</v>
      </c>
      <c r="T50" s="447">
        <f t="shared" si="64"/>
        <v>0</v>
      </c>
      <c r="U50" s="447">
        <f t="shared" si="64"/>
        <v>0</v>
      </c>
      <c r="V50" s="447">
        <f t="shared" si="64"/>
        <v>0</v>
      </c>
      <c r="W50" s="447">
        <f t="shared" si="64"/>
        <v>0</v>
      </c>
      <c r="X50" s="447">
        <f t="shared" si="64"/>
        <v>0</v>
      </c>
      <c r="Y50" s="447">
        <f t="shared" si="64"/>
        <v>0</v>
      </c>
      <c r="Z50" s="447">
        <f t="shared" si="64"/>
        <v>0</v>
      </c>
      <c r="AA50" s="447">
        <f t="shared" si="64"/>
        <v>0</v>
      </c>
      <c r="AB50" s="447">
        <f t="shared" si="64"/>
        <v>0</v>
      </c>
      <c r="AC50" s="447">
        <f t="shared" si="64"/>
        <v>0</v>
      </c>
      <c r="AD50" s="295">
        <f t="shared" si="65"/>
        <v>0</v>
      </c>
    </row>
    <row r="51" spans="1:30" s="250" customFormat="1" ht="18">
      <c r="A51" s="440" t="str">
        <f t="shared" si="59"/>
        <v>Product 8</v>
      </c>
      <c r="B51" s="636">
        <f t="shared" si="66"/>
        <v>0.5</v>
      </c>
      <c r="C51" s="637">
        <f t="shared" si="60"/>
        <v>0</v>
      </c>
      <c r="D51" s="447">
        <f t="shared" si="60"/>
        <v>0</v>
      </c>
      <c r="E51" s="447">
        <f t="shared" si="60"/>
        <v>0</v>
      </c>
      <c r="F51" s="447">
        <f t="shared" si="60"/>
        <v>0</v>
      </c>
      <c r="G51" s="447">
        <f t="shared" si="60"/>
        <v>0</v>
      </c>
      <c r="H51" s="447">
        <f t="shared" si="60"/>
        <v>0</v>
      </c>
      <c r="I51" s="447">
        <f t="shared" si="60"/>
        <v>0</v>
      </c>
      <c r="J51" s="447">
        <f t="shared" si="60"/>
        <v>0</v>
      </c>
      <c r="K51" s="447">
        <f t="shared" si="60"/>
        <v>0</v>
      </c>
      <c r="L51" s="447">
        <f t="shared" si="60"/>
        <v>0</v>
      </c>
      <c r="M51" s="447">
        <f t="shared" si="60"/>
        <v>0</v>
      </c>
      <c r="N51" s="638">
        <f t="shared" si="60"/>
        <v>0</v>
      </c>
      <c r="O51" s="295">
        <f t="shared" si="62"/>
        <v>0</v>
      </c>
      <c r="P51" s="440" t="str">
        <f t="shared" si="58"/>
        <v>Product 8</v>
      </c>
      <c r="Q51" s="636">
        <f t="shared" si="63"/>
        <v>0.5</v>
      </c>
      <c r="R51" s="637">
        <f t="shared" si="64"/>
        <v>0</v>
      </c>
      <c r="S51" s="447">
        <f t="shared" si="64"/>
        <v>0</v>
      </c>
      <c r="T51" s="447">
        <f t="shared" si="64"/>
        <v>0</v>
      </c>
      <c r="U51" s="447">
        <f t="shared" si="64"/>
        <v>0</v>
      </c>
      <c r="V51" s="447">
        <f t="shared" si="64"/>
        <v>0</v>
      </c>
      <c r="W51" s="447">
        <f t="shared" si="64"/>
        <v>0</v>
      </c>
      <c r="X51" s="447">
        <f t="shared" si="64"/>
        <v>0</v>
      </c>
      <c r="Y51" s="447">
        <f t="shared" si="64"/>
        <v>0</v>
      </c>
      <c r="Z51" s="447">
        <f t="shared" si="64"/>
        <v>0</v>
      </c>
      <c r="AA51" s="447">
        <f t="shared" si="64"/>
        <v>0</v>
      </c>
      <c r="AB51" s="447">
        <f t="shared" si="64"/>
        <v>0</v>
      </c>
      <c r="AC51" s="638">
        <f t="shared" si="64"/>
        <v>0</v>
      </c>
      <c r="AD51" s="295">
        <f t="shared" si="65"/>
        <v>0</v>
      </c>
    </row>
    <row r="52" spans="1:30" s="250" customFormat="1" ht="18">
      <c r="A52" s="632" t="s">
        <v>406</v>
      </c>
      <c r="B52" s="639"/>
      <c r="C52" s="640">
        <f>SUM(C44:C51)</f>
        <v>0</v>
      </c>
      <c r="D52" s="640">
        <f aca="true" t="shared" si="67" ref="D52:N52">SUM(D44:D51)</f>
        <v>0</v>
      </c>
      <c r="E52" s="640">
        <f t="shared" si="67"/>
        <v>0</v>
      </c>
      <c r="F52" s="640">
        <f t="shared" si="67"/>
        <v>0</v>
      </c>
      <c r="G52" s="640">
        <f t="shared" si="67"/>
        <v>0</v>
      </c>
      <c r="H52" s="640">
        <f t="shared" si="67"/>
        <v>0</v>
      </c>
      <c r="I52" s="640">
        <f t="shared" si="67"/>
        <v>0</v>
      </c>
      <c r="J52" s="640">
        <f t="shared" si="67"/>
        <v>0</v>
      </c>
      <c r="K52" s="640">
        <f t="shared" si="67"/>
        <v>0</v>
      </c>
      <c r="L52" s="640">
        <f t="shared" si="67"/>
        <v>0</v>
      </c>
      <c r="M52" s="640">
        <f t="shared" si="67"/>
        <v>0</v>
      </c>
      <c r="N52" s="640">
        <f t="shared" si="67"/>
        <v>0</v>
      </c>
      <c r="O52" s="76">
        <f>SUM(O44:O51)</f>
        <v>0</v>
      </c>
      <c r="P52" s="632" t="str">
        <f t="shared" si="58"/>
        <v>Total Cost of Sales</v>
      </c>
      <c r="Q52" s="639"/>
      <c r="R52" s="640">
        <f aca="true" t="shared" si="68" ref="R52:AD52">SUM(R44:R51)</f>
        <v>0</v>
      </c>
      <c r="S52" s="640">
        <f t="shared" si="68"/>
        <v>0</v>
      </c>
      <c r="T52" s="640">
        <f t="shared" si="68"/>
        <v>0</v>
      </c>
      <c r="U52" s="640">
        <f t="shared" si="68"/>
        <v>0</v>
      </c>
      <c r="V52" s="640">
        <f t="shared" si="68"/>
        <v>0</v>
      </c>
      <c r="W52" s="640">
        <f t="shared" si="68"/>
        <v>0</v>
      </c>
      <c r="X52" s="640">
        <f t="shared" si="68"/>
        <v>0</v>
      </c>
      <c r="Y52" s="640">
        <f t="shared" si="68"/>
        <v>0</v>
      </c>
      <c r="Z52" s="640">
        <f t="shared" si="68"/>
        <v>0</v>
      </c>
      <c r="AA52" s="640">
        <f t="shared" si="68"/>
        <v>0</v>
      </c>
      <c r="AB52" s="640">
        <f t="shared" si="68"/>
        <v>0</v>
      </c>
      <c r="AC52" s="640">
        <f t="shared" si="68"/>
        <v>0</v>
      </c>
      <c r="AD52" s="76">
        <f t="shared" si="68"/>
        <v>0</v>
      </c>
    </row>
    <row r="53" spans="1:30" s="250" customFormat="1" ht="18">
      <c r="A53" s="440"/>
      <c r="B53" s="383"/>
      <c r="C53" s="447"/>
      <c r="D53" s="447"/>
      <c r="E53" s="447"/>
      <c r="F53" s="447"/>
      <c r="G53" s="447"/>
      <c r="H53" s="447"/>
      <c r="I53" s="447"/>
      <c r="J53" s="447"/>
      <c r="K53" s="447"/>
      <c r="L53" s="447"/>
      <c r="M53" s="447"/>
      <c r="N53" s="447"/>
      <c r="O53" s="61"/>
      <c r="P53" s="440"/>
      <c r="Q53" s="383"/>
      <c r="R53" s="447"/>
      <c r="S53" s="447"/>
      <c r="T53" s="447"/>
      <c r="U53" s="447"/>
      <c r="V53" s="447"/>
      <c r="W53" s="447"/>
      <c r="X53" s="447"/>
      <c r="Y53" s="447"/>
      <c r="Z53" s="447"/>
      <c r="AA53" s="447"/>
      <c r="AB53" s="447"/>
      <c r="AC53" s="447"/>
      <c r="AD53" s="61"/>
    </row>
    <row r="54" spans="1:30" ht="18">
      <c r="A54" t="s">
        <v>10</v>
      </c>
      <c r="C54" s="60">
        <f>+C39-C52</f>
        <v>0</v>
      </c>
      <c r="D54" s="60">
        <f aca="true" t="shared" si="69" ref="D54:N54">+D39-D52</f>
        <v>0</v>
      </c>
      <c r="E54" s="60">
        <f t="shared" si="69"/>
        <v>0</v>
      </c>
      <c r="F54" s="60">
        <f t="shared" si="69"/>
        <v>0</v>
      </c>
      <c r="G54" s="60">
        <f t="shared" si="69"/>
        <v>0</v>
      </c>
      <c r="H54" s="60">
        <f t="shared" si="69"/>
        <v>0</v>
      </c>
      <c r="I54" s="60">
        <f t="shared" si="69"/>
        <v>0</v>
      </c>
      <c r="J54" s="60">
        <f t="shared" si="69"/>
        <v>0</v>
      </c>
      <c r="K54" s="60">
        <f t="shared" si="69"/>
        <v>0</v>
      </c>
      <c r="L54" s="60">
        <f t="shared" si="69"/>
        <v>0</v>
      </c>
      <c r="M54" s="60">
        <f t="shared" si="69"/>
        <v>0</v>
      </c>
      <c r="N54" s="60">
        <f t="shared" si="69"/>
        <v>0</v>
      </c>
      <c r="O54" s="60">
        <f>SUM(C54:N54)</f>
        <v>0</v>
      </c>
      <c r="P54" s="440" t="str">
        <f t="shared" si="58"/>
        <v>Gross Margin</v>
      </c>
      <c r="R54" s="60">
        <f>+R39-R52</f>
        <v>0</v>
      </c>
      <c r="S54" s="60">
        <f aca="true" t="shared" si="70" ref="S54:AC54">+S39-S52</f>
        <v>0</v>
      </c>
      <c r="T54" s="60">
        <f t="shared" si="70"/>
        <v>0</v>
      </c>
      <c r="U54" s="60">
        <f t="shared" si="70"/>
        <v>0</v>
      </c>
      <c r="V54" s="60">
        <f t="shared" si="70"/>
        <v>0</v>
      </c>
      <c r="W54" s="60">
        <f t="shared" si="70"/>
        <v>0</v>
      </c>
      <c r="X54" s="60">
        <f t="shared" si="70"/>
        <v>0</v>
      </c>
      <c r="Y54" s="60">
        <f t="shared" si="70"/>
        <v>0</v>
      </c>
      <c r="Z54" s="60">
        <f t="shared" si="70"/>
        <v>0</v>
      </c>
      <c r="AA54" s="60">
        <f t="shared" si="70"/>
        <v>0</v>
      </c>
      <c r="AB54" s="60">
        <f t="shared" si="70"/>
        <v>0</v>
      </c>
      <c r="AC54" s="60">
        <f t="shared" si="70"/>
        <v>0</v>
      </c>
      <c r="AD54" s="60">
        <f>SUM(R54:AC54)</f>
        <v>0</v>
      </c>
    </row>
    <row r="55" spans="1:30" ht="18">
      <c r="A55" t="s">
        <v>476</v>
      </c>
      <c r="C55" s="81">
        <f>IF(C39&gt;0,+C54/C39,0)</f>
        <v>0</v>
      </c>
      <c r="D55" s="81">
        <f aca="true" t="shared" si="71" ref="D55:O55">IF(D39&gt;0,+D54/D39,0)</f>
        <v>0</v>
      </c>
      <c r="E55" s="81">
        <f t="shared" si="71"/>
        <v>0</v>
      </c>
      <c r="F55" s="81">
        <f t="shared" si="71"/>
        <v>0</v>
      </c>
      <c r="G55" s="81">
        <f t="shared" si="71"/>
        <v>0</v>
      </c>
      <c r="H55" s="81">
        <f t="shared" si="71"/>
        <v>0</v>
      </c>
      <c r="I55" s="81">
        <f t="shared" si="71"/>
        <v>0</v>
      </c>
      <c r="J55" s="81">
        <f t="shared" si="71"/>
        <v>0</v>
      </c>
      <c r="K55" s="81">
        <f t="shared" si="71"/>
        <v>0</v>
      </c>
      <c r="L55" s="81">
        <f t="shared" si="71"/>
        <v>0</v>
      </c>
      <c r="M55" s="81">
        <f t="shared" si="71"/>
        <v>0</v>
      </c>
      <c r="N55" s="81">
        <f t="shared" si="71"/>
        <v>0</v>
      </c>
      <c r="O55" s="81">
        <f t="shared" si="71"/>
        <v>0</v>
      </c>
      <c r="P55" s="440" t="str">
        <f t="shared" si="58"/>
        <v>%</v>
      </c>
      <c r="R55" s="81">
        <f aca="true" t="shared" si="72" ref="R55:AD55">IF(R39&gt;0,+R54/R39,0)</f>
        <v>0</v>
      </c>
      <c r="S55" s="81">
        <f t="shared" si="72"/>
        <v>0</v>
      </c>
      <c r="T55" s="81">
        <f t="shared" si="72"/>
        <v>0</v>
      </c>
      <c r="U55" s="81">
        <f t="shared" si="72"/>
        <v>0</v>
      </c>
      <c r="V55" s="81">
        <f t="shared" si="72"/>
        <v>0</v>
      </c>
      <c r="W55" s="81">
        <f t="shared" si="72"/>
        <v>0</v>
      </c>
      <c r="X55" s="81">
        <f t="shared" si="72"/>
        <v>0</v>
      </c>
      <c r="Y55" s="81">
        <f t="shared" si="72"/>
        <v>0</v>
      </c>
      <c r="Z55" s="81">
        <f t="shared" si="72"/>
        <v>0</v>
      </c>
      <c r="AA55" s="81">
        <f t="shared" si="72"/>
        <v>0</v>
      </c>
      <c r="AB55" s="81">
        <f t="shared" si="72"/>
        <v>0</v>
      </c>
      <c r="AC55" s="81">
        <f t="shared" si="72"/>
        <v>0</v>
      </c>
      <c r="AD55" s="81">
        <f t="shared" si="72"/>
        <v>0</v>
      </c>
    </row>
  </sheetData>
  <sheetProtection/>
  <printOptions/>
  <pageMargins left="0.5" right="0.5" top="0.75" bottom="0.75" header="0.5" footer="0.5"/>
  <pageSetup firstPageNumber="1" useFirstPageNumber="1" horizontalDpi="600" verticalDpi="600" orientation="landscape" pageOrder="overThenDown" scale="47" r:id="rId4"/>
  <headerFooter alignWithMargins="0">
    <oddFooter>&amp;R&amp;A  Page &amp;P</oddFooter>
  </headerFooter>
  <colBreaks count="1" manualBreakCount="1">
    <brk id="15"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AD315"/>
  <sheetViews>
    <sheetView zoomScale="70" zoomScaleNormal="70" zoomScaleSheetLayoutView="50" zoomScalePageLayoutView="0" workbookViewId="0" topLeftCell="A1">
      <selection activeCell="W11" sqref="W11"/>
    </sheetView>
  </sheetViews>
  <sheetFormatPr defaultColWidth="8.72265625" defaultRowHeight="18"/>
  <cols>
    <col min="1" max="1" width="21.6328125" style="0" customWidth="1"/>
    <col min="2" max="2" width="10.0859375" style="0" customWidth="1"/>
    <col min="3" max="3" width="10.8125" style="0" customWidth="1"/>
    <col min="4" max="13" width="11.0859375" style="0" customWidth="1"/>
    <col min="14" max="14" width="11.72265625" style="0" bestFit="1" customWidth="1"/>
    <col min="15" max="15" width="10.8125" style="0" bestFit="1" customWidth="1"/>
    <col min="16" max="16" width="21.6328125" style="0" customWidth="1"/>
    <col min="17" max="17" width="11.2734375" style="0" customWidth="1"/>
    <col min="18" max="18" width="10.8125" style="0" customWidth="1"/>
    <col min="19" max="28" width="11.0859375" style="0" customWidth="1"/>
    <col min="29" max="30" width="10.8125" style="0" customWidth="1"/>
  </cols>
  <sheetData>
    <row r="1" spans="1:30" ht="18">
      <c r="A1" s="24" t="str">
        <f>+Cover!A13</f>
        <v>MyCo</v>
      </c>
      <c r="B1" s="19"/>
      <c r="C1" s="19"/>
      <c r="D1" s="19"/>
      <c r="E1" s="19"/>
      <c r="F1" s="19"/>
      <c r="G1" s="19"/>
      <c r="H1" s="19"/>
      <c r="I1" s="19"/>
      <c r="J1" s="19"/>
      <c r="K1" s="19"/>
      <c r="L1" s="19"/>
      <c r="M1" s="19"/>
      <c r="N1" s="19"/>
      <c r="O1" s="64" t="str">
        <f>+Cover!A17</f>
        <v>Draft 1.0</v>
      </c>
      <c r="P1" s="24" t="str">
        <f>+A1</f>
        <v>MyCo</v>
      </c>
      <c r="Q1" s="19"/>
      <c r="R1" s="19"/>
      <c r="S1" s="19"/>
      <c r="T1" s="19"/>
      <c r="U1" s="19"/>
      <c r="V1" s="19"/>
      <c r="W1" s="19"/>
      <c r="X1" s="19"/>
      <c r="Y1" s="19"/>
      <c r="Z1" s="19"/>
      <c r="AA1" s="19"/>
      <c r="AB1" s="19"/>
      <c r="AC1" s="19"/>
      <c r="AD1" s="64" t="str">
        <f>+O1</f>
        <v>Draft 1.0</v>
      </c>
    </row>
    <row r="2" spans="1:30" ht="23.25">
      <c r="A2" s="20" t="s">
        <v>7</v>
      </c>
      <c r="B2" s="19"/>
      <c r="C2" s="19"/>
      <c r="D2" s="19"/>
      <c r="E2" s="19"/>
      <c r="F2" s="19"/>
      <c r="G2" s="19"/>
      <c r="H2" s="19"/>
      <c r="I2" s="19"/>
      <c r="J2" s="19"/>
      <c r="K2" s="19"/>
      <c r="L2" s="19"/>
      <c r="M2" s="19"/>
      <c r="N2" s="25"/>
      <c r="O2" s="19"/>
      <c r="P2" s="20" t="s">
        <v>7</v>
      </c>
      <c r="Q2" s="19"/>
      <c r="R2" s="19"/>
      <c r="S2" s="19"/>
      <c r="T2" s="19"/>
      <c r="U2" s="19"/>
      <c r="V2" s="19"/>
      <c r="W2" s="19"/>
      <c r="X2" s="19"/>
      <c r="Y2" s="19"/>
      <c r="Z2" s="19"/>
      <c r="AA2" s="19"/>
      <c r="AB2" s="19"/>
      <c r="AC2" s="25"/>
      <c r="AD2" s="19"/>
    </row>
    <row r="3" spans="1:30" ht="18">
      <c r="A3" s="21">
        <f>+Headcount!A3</f>
        <v>2022</v>
      </c>
      <c r="B3" s="18"/>
      <c r="C3" s="619">
        <f>IF(ISBLANK(Headcount!C$3),"",Headcount!C$3)</f>
      </c>
      <c r="D3" s="619">
        <f>IF(ISBLANK(Headcount!D$3),"",Headcount!D$3)</f>
      </c>
      <c r="E3" s="619">
        <f>IF(ISBLANK(Headcount!E$3),"",Headcount!E$3)</f>
      </c>
      <c r="F3" s="619">
        <f>IF(ISBLANK(Headcount!F$3),"",Headcount!F$3)</f>
      </c>
      <c r="G3" s="619">
        <f>IF(ISBLANK(Headcount!G$3),"",Headcount!G$3)</f>
      </c>
      <c r="H3" s="619">
        <f>IF(ISBLANK(Headcount!H$3),"",Headcount!H$3)</f>
      </c>
      <c r="I3" s="619">
        <f>IF(ISBLANK(Headcount!I$3),"",Headcount!I$3)</f>
      </c>
      <c r="J3" s="619">
        <f>IF(ISBLANK(Headcount!J$3),"",Headcount!J$3)</f>
      </c>
      <c r="K3" s="619">
        <f>IF(ISBLANK(Headcount!K$3),"",Headcount!K$3)</f>
      </c>
      <c r="L3" s="619">
        <f>IF(ISBLANK(Headcount!L$3),"",Headcount!L$3)</f>
      </c>
      <c r="M3" s="619">
        <f>IF(ISBLANK(Headcount!M$3),"",Headcount!M$3)</f>
      </c>
      <c r="N3" s="619">
        <f>IF(ISBLANK(Headcount!N$3),"",Headcount!N$3)</f>
      </c>
      <c r="O3" s="18"/>
      <c r="P3" s="21">
        <f>IF(A3="Year 1","Year 2",A3+1)</f>
        <v>2023</v>
      </c>
      <c r="Q3" s="18"/>
      <c r="R3" s="619">
        <f>IF(ISBLANK(Headcount!R$3),"",Headcount!R$3)</f>
      </c>
      <c r="S3" s="619">
        <f>IF(ISBLANK(Headcount!S$3),"",Headcount!S$3)</f>
      </c>
      <c r="T3" s="619">
        <f>IF(ISBLANK(Headcount!T$3),"",Headcount!T$3)</f>
      </c>
      <c r="U3" s="619">
        <f>IF(ISBLANK(Headcount!U$3),"",Headcount!U$3)</f>
      </c>
      <c r="V3" s="619">
        <f>IF(ISBLANK(Headcount!V$3),"",Headcount!V$3)</f>
      </c>
      <c r="W3" s="619">
        <f>IF(ISBLANK(Headcount!W$3),"",Headcount!W$3)</f>
      </c>
      <c r="X3" s="619">
        <f>IF(ISBLANK(Headcount!X$3),"",Headcount!X$3)</f>
      </c>
      <c r="Y3" s="619">
        <f>IF(ISBLANK(Headcount!Y$3),"",Headcount!Y$3)</f>
      </c>
      <c r="Z3" s="619">
        <f>IF(ISBLANK(Headcount!Z$3),"",Headcount!Z$3)</f>
      </c>
      <c r="AA3" s="619">
        <f>IF(ISBLANK(Headcount!AA$3),"",Headcount!AA$3)</f>
      </c>
      <c r="AB3" s="619">
        <f>IF(ISBLANK(Headcount!AB$3),"",Headcount!AB$3)</f>
      </c>
      <c r="AC3" s="619">
        <f>IF(ISBLANK(Headcount!AC$3),"",Headcount!AC$3)</f>
      </c>
      <c r="AD3" s="18"/>
    </row>
    <row r="4" spans="1:29" ht="18">
      <c r="A4" s="18"/>
      <c r="B4" s="37"/>
      <c r="C4" s="22" t="str">
        <f>IF(ISBLANK(Headcount!C$4),"",Headcount!C$4)</f>
        <v>Month</v>
      </c>
      <c r="D4" s="659" t="str">
        <f>IF(ISBLANK(Headcount!D$4),"",Headcount!D$4)</f>
        <v>Actual</v>
      </c>
      <c r="E4" s="659" t="str">
        <f>IF(ISBLANK(Headcount!E$4),"",Headcount!E$4)</f>
        <v>Actual</v>
      </c>
      <c r="F4" s="659" t="str">
        <f>IF(ISBLANK(Headcount!F$4),"",Headcount!F$4)</f>
        <v>Forecast</v>
      </c>
      <c r="G4" s="659" t="str">
        <f>IF(ISBLANK(Headcount!G$4),"",Headcount!G$4)</f>
        <v>Forecast</v>
      </c>
      <c r="H4" s="659" t="str">
        <f>IF(ISBLANK(Headcount!H$4),"",Headcount!H$4)</f>
        <v>Forecast</v>
      </c>
      <c r="I4" s="659" t="str">
        <f>IF(ISBLANK(Headcount!I$4),"",Headcount!I$4)</f>
        <v>Forecast</v>
      </c>
      <c r="J4" s="659" t="str">
        <f>IF(ISBLANK(Headcount!J$4),"",Headcount!J$4)</f>
        <v>Forecast</v>
      </c>
      <c r="K4" s="659" t="str">
        <f>IF(ISBLANK(Headcount!K$4),"",Headcount!K$4)</f>
        <v>Forecast</v>
      </c>
      <c r="L4" s="659" t="str">
        <f>IF(ISBLANK(Headcount!L$4),"",Headcount!L$4)</f>
        <v>Forecast</v>
      </c>
      <c r="M4" s="659" t="str">
        <f>IF(ISBLANK(Headcount!M$4),"",Headcount!M$4)</f>
        <v>Forecast</v>
      </c>
      <c r="N4" s="659" t="str">
        <f>IF(ISBLANK(Headcount!N$4),"",Headcount!N$4)</f>
        <v>Forecast</v>
      </c>
      <c r="P4" s="18"/>
      <c r="Q4" s="37"/>
      <c r="R4" s="659" t="str">
        <f>IF(ISBLANK(Headcount!R$4),"",Headcount!R$4)</f>
        <v>Forecast</v>
      </c>
      <c r="S4" s="659" t="str">
        <f>IF(ISBLANK(Headcount!S$4),"",Headcount!S$4)</f>
        <v>Forecast</v>
      </c>
      <c r="T4" s="659" t="str">
        <f>IF(ISBLANK(Headcount!T$4),"",Headcount!T$4)</f>
        <v>Forecast</v>
      </c>
      <c r="U4" s="659" t="str">
        <f>IF(ISBLANK(Headcount!U$4),"",Headcount!U$4)</f>
        <v>Forecast</v>
      </c>
      <c r="V4" s="659" t="str">
        <f>IF(ISBLANK(Headcount!V$4),"",Headcount!V$4)</f>
        <v>Forecast</v>
      </c>
      <c r="W4" s="659" t="str">
        <f>IF(ISBLANK(Headcount!W$4),"",Headcount!W$4)</f>
        <v>Forecast</v>
      </c>
      <c r="X4" s="659" t="str">
        <f>IF(ISBLANK(Headcount!X$4),"",Headcount!X$4)</f>
        <v>Forecast</v>
      </c>
      <c r="Y4" s="659" t="str">
        <f>IF(ISBLANK(Headcount!Y$4),"",Headcount!Y$4)</f>
        <v>Forecast</v>
      </c>
      <c r="Z4" s="659" t="str">
        <f>IF(ISBLANK(Headcount!Z$4),"",Headcount!Z$4)</f>
        <v>Forecast</v>
      </c>
      <c r="AA4" s="659" t="str">
        <f>IF(ISBLANK(Headcount!AA$4),"",Headcount!AA$4)</f>
        <v>Forecast</v>
      </c>
      <c r="AB4" s="659" t="str">
        <f>IF(ISBLANK(Headcount!AB$4),"",Headcount!AB$4)</f>
        <v>Forecast</v>
      </c>
      <c r="AC4" s="659" t="str">
        <f>IF(ISBLANK(Headcount!AC$4),"",Headcount!AC$4)</f>
        <v>Forecast</v>
      </c>
    </row>
    <row r="5" spans="1:30" ht="18.75" thickBot="1">
      <c r="A5" s="26"/>
      <c r="B5" s="38"/>
      <c r="C5" s="157" t="str">
        <f>+Headcount!C$5</f>
        <v>Jan</v>
      </c>
      <c r="D5" s="157" t="str">
        <f>+Headcount!D$5</f>
        <v>Feb</v>
      </c>
      <c r="E5" s="157" t="str">
        <f>+Headcount!E$5</f>
        <v>Mar</v>
      </c>
      <c r="F5" s="157" t="str">
        <f>+Headcount!F$5</f>
        <v>Apr</v>
      </c>
      <c r="G5" s="157" t="str">
        <f>+Headcount!G$5</f>
        <v>May</v>
      </c>
      <c r="H5" s="157" t="str">
        <f>+Headcount!H$5</f>
        <v>Jun</v>
      </c>
      <c r="I5" s="157" t="str">
        <f>+Headcount!I$5</f>
        <v>Jul</v>
      </c>
      <c r="J5" s="157" t="str">
        <f>+Headcount!J$5</f>
        <v>Aug</v>
      </c>
      <c r="K5" s="157" t="str">
        <f>+Headcount!K$5</f>
        <v>Sep</v>
      </c>
      <c r="L5" s="157" t="str">
        <f>+Headcount!L$5</f>
        <v>Oct</v>
      </c>
      <c r="M5" s="157" t="str">
        <f>+Headcount!M$5</f>
        <v>Nov</v>
      </c>
      <c r="N5" s="157" t="str">
        <f>+Headcount!N$5</f>
        <v>Dec</v>
      </c>
      <c r="P5" s="26"/>
      <c r="Q5" s="157"/>
      <c r="R5" s="157" t="str">
        <f>+Headcount!R$5</f>
        <v>Jan</v>
      </c>
      <c r="S5" s="157" t="str">
        <f>+Headcount!S$5</f>
        <v>Feb</v>
      </c>
      <c r="T5" s="157" t="str">
        <f>+Headcount!T$5</f>
        <v>Mar</v>
      </c>
      <c r="U5" s="157" t="str">
        <f>+Headcount!U$5</f>
        <v>Apr</v>
      </c>
      <c r="V5" s="157" t="str">
        <f>+Headcount!V$5</f>
        <v>May</v>
      </c>
      <c r="W5" s="157" t="str">
        <f>+Headcount!W$5</f>
        <v>Jun</v>
      </c>
      <c r="X5" s="157" t="str">
        <f>+Headcount!X$5</f>
        <v>Jul</v>
      </c>
      <c r="Y5" s="157" t="str">
        <f>+Headcount!Y$5</f>
        <v>Aug</v>
      </c>
      <c r="Z5" s="157" t="str">
        <f>+Headcount!Z$5</f>
        <v>Sep</v>
      </c>
      <c r="AA5" s="157" t="str">
        <f>+Headcount!AA$5</f>
        <v>Oct</v>
      </c>
      <c r="AB5" s="157" t="str">
        <f>+Headcount!AB$5</f>
        <v>Nov</v>
      </c>
      <c r="AC5" s="157" t="str">
        <f>+Headcount!AC$5</f>
        <v>Dec</v>
      </c>
      <c r="AD5" s="157" t="s">
        <v>1</v>
      </c>
    </row>
    <row r="6" spans="2:30" ht="18">
      <c r="B6" s="13"/>
      <c r="C6" s="31"/>
      <c r="D6" s="31"/>
      <c r="E6" s="31"/>
      <c r="F6" s="31"/>
      <c r="G6" s="31"/>
      <c r="H6" s="31"/>
      <c r="I6" s="31"/>
      <c r="J6" s="31"/>
      <c r="K6" s="31"/>
      <c r="L6" s="31"/>
      <c r="M6" s="31"/>
      <c r="N6" s="31"/>
      <c r="O6" s="29"/>
      <c r="Q6" s="13"/>
      <c r="R6" s="31"/>
      <c r="S6" s="31"/>
      <c r="T6" s="31"/>
      <c r="U6" s="31"/>
      <c r="V6" s="31"/>
      <c r="W6" s="31"/>
      <c r="X6" s="31"/>
      <c r="Y6" s="31"/>
      <c r="Z6" s="31"/>
      <c r="AA6" s="31"/>
      <c r="AB6" s="31"/>
      <c r="AC6" s="31"/>
      <c r="AD6" s="29"/>
    </row>
    <row r="7" spans="1:30" ht="20.25">
      <c r="A7" s="51" t="s">
        <v>8</v>
      </c>
      <c r="B7" s="13"/>
      <c r="C7" s="510"/>
      <c r="D7" s="510"/>
      <c r="E7" s="510"/>
      <c r="F7" s="510"/>
      <c r="G7" s="510"/>
      <c r="H7" s="510"/>
      <c r="I7" s="510"/>
      <c r="J7" s="510"/>
      <c r="K7" s="510"/>
      <c r="L7" s="510"/>
      <c r="M7" s="510"/>
      <c r="N7" s="510"/>
      <c r="O7" s="29"/>
      <c r="P7" s="526" t="s">
        <v>8</v>
      </c>
      <c r="Q7" s="13"/>
      <c r="R7" s="510"/>
      <c r="S7" s="510"/>
      <c r="T7" s="510"/>
      <c r="U7" s="510"/>
      <c r="V7" s="510"/>
      <c r="W7" s="510"/>
      <c r="X7" s="510"/>
      <c r="Y7" s="510"/>
      <c r="Z7" s="510"/>
      <c r="AA7" s="510"/>
      <c r="AB7" s="510"/>
      <c r="AC7" s="510"/>
      <c r="AD7" s="29"/>
    </row>
    <row r="8" spans="1:30" ht="18">
      <c r="A8" s="24" t="str">
        <f>+'Sales-COS'!A8</f>
        <v>Product 1</v>
      </c>
      <c r="B8" s="329"/>
      <c r="C8" s="467">
        <f>'Sales-COS'!C31</f>
        <v>0</v>
      </c>
      <c r="D8" s="467">
        <f>'Sales-COS'!D31</f>
        <v>0</v>
      </c>
      <c r="E8" s="467">
        <f>'Sales-COS'!E31</f>
        <v>0</v>
      </c>
      <c r="F8" s="467">
        <f>'Sales-COS'!F31</f>
        <v>0</v>
      </c>
      <c r="G8" s="467">
        <f>'Sales-COS'!G31</f>
        <v>0</v>
      </c>
      <c r="H8" s="467">
        <f>'Sales-COS'!H31</f>
        <v>0</v>
      </c>
      <c r="I8" s="467">
        <f>'Sales-COS'!I31</f>
        <v>0</v>
      </c>
      <c r="J8" s="467">
        <f>'Sales-COS'!J31</f>
        <v>0</v>
      </c>
      <c r="K8" s="467">
        <f>'Sales-COS'!K31</f>
        <v>0</v>
      </c>
      <c r="L8" s="467">
        <f>'Sales-COS'!L31</f>
        <v>0</v>
      </c>
      <c r="M8" s="467">
        <f>'Sales-COS'!M31</f>
        <v>0</v>
      </c>
      <c r="N8" s="467">
        <f>'Sales-COS'!N31</f>
        <v>0</v>
      </c>
      <c r="O8" s="509">
        <f>SUM(C8:N8)</f>
        <v>0</v>
      </c>
      <c r="P8" s="48" t="str">
        <f>IF(A8="","",A8)</f>
        <v>Product 1</v>
      </c>
      <c r="Q8" s="329"/>
      <c r="R8" s="467">
        <f>'Sales-COS'!R31</f>
        <v>0</v>
      </c>
      <c r="S8" s="467">
        <f>'Sales-COS'!S31</f>
        <v>0</v>
      </c>
      <c r="T8" s="467">
        <f>'Sales-COS'!T31</f>
        <v>0</v>
      </c>
      <c r="U8" s="467">
        <f>'Sales-COS'!U31</f>
        <v>0</v>
      </c>
      <c r="V8" s="467">
        <f>'Sales-COS'!V31</f>
        <v>0</v>
      </c>
      <c r="W8" s="467">
        <f>'Sales-COS'!W31</f>
        <v>0</v>
      </c>
      <c r="X8" s="467">
        <f>'Sales-COS'!X31</f>
        <v>0</v>
      </c>
      <c r="Y8" s="467">
        <f>'Sales-COS'!Y31</f>
        <v>0</v>
      </c>
      <c r="Z8" s="467">
        <f>'Sales-COS'!Z31</f>
        <v>0</v>
      </c>
      <c r="AA8" s="467">
        <f>'Sales-COS'!AA31</f>
        <v>0</v>
      </c>
      <c r="AB8" s="467">
        <f>'Sales-COS'!AB31</f>
        <v>0</v>
      </c>
      <c r="AC8" s="467">
        <f>'Sales-COS'!AC31</f>
        <v>0</v>
      </c>
      <c r="AD8" s="509">
        <f>SUM(R8:AC8)</f>
        <v>0</v>
      </c>
    </row>
    <row r="9" spans="1:30" ht="18">
      <c r="A9" s="24" t="str">
        <f>+'Sales-COS'!A9</f>
        <v>Product 2</v>
      </c>
      <c r="B9" s="329"/>
      <c r="C9" s="467">
        <f>'Sales-COS'!C32</f>
        <v>0</v>
      </c>
      <c r="D9" s="467">
        <f>'Sales-COS'!D32</f>
        <v>0</v>
      </c>
      <c r="E9" s="467">
        <f>'Sales-COS'!E32</f>
        <v>0</v>
      </c>
      <c r="F9" s="467">
        <f>'Sales-COS'!F32</f>
        <v>0</v>
      </c>
      <c r="G9" s="467">
        <f>'Sales-COS'!G32</f>
        <v>0</v>
      </c>
      <c r="H9" s="467">
        <f>'Sales-COS'!H32</f>
        <v>0</v>
      </c>
      <c r="I9" s="467">
        <f>'Sales-COS'!I32</f>
        <v>0</v>
      </c>
      <c r="J9" s="467">
        <f>'Sales-COS'!J32</f>
        <v>0</v>
      </c>
      <c r="K9" s="467">
        <f>'Sales-COS'!K32</f>
        <v>0</v>
      </c>
      <c r="L9" s="467">
        <f>'Sales-COS'!L32</f>
        <v>0</v>
      </c>
      <c r="M9" s="467">
        <f>'Sales-COS'!M32</f>
        <v>0</v>
      </c>
      <c r="N9" s="467">
        <f>'Sales-COS'!N32</f>
        <v>0</v>
      </c>
      <c r="O9" s="509">
        <f aca="true" t="shared" si="0" ref="O9:O16">SUM(C9:N9)</f>
        <v>0</v>
      </c>
      <c r="P9" s="48" t="str">
        <f aca="true" t="shared" si="1" ref="P9:P15">IF(A9="","",A9)</f>
        <v>Product 2</v>
      </c>
      <c r="Q9" s="329"/>
      <c r="R9" s="467">
        <f>'Sales-COS'!R32</f>
        <v>0</v>
      </c>
      <c r="S9" s="467">
        <f>'Sales-COS'!S32</f>
        <v>0</v>
      </c>
      <c r="T9" s="467">
        <f>'Sales-COS'!T32</f>
        <v>0</v>
      </c>
      <c r="U9" s="467">
        <f>'Sales-COS'!U32</f>
        <v>0</v>
      </c>
      <c r="V9" s="467">
        <f>'Sales-COS'!V32</f>
        <v>0</v>
      </c>
      <c r="W9" s="467">
        <f>'Sales-COS'!W32</f>
        <v>0</v>
      </c>
      <c r="X9" s="467">
        <f>'Sales-COS'!X32</f>
        <v>0</v>
      </c>
      <c r="Y9" s="467">
        <f>'Sales-COS'!Y32</f>
        <v>0</v>
      </c>
      <c r="Z9" s="467">
        <f>'Sales-COS'!Z32</f>
        <v>0</v>
      </c>
      <c r="AA9" s="467">
        <f>'Sales-COS'!AA32</f>
        <v>0</v>
      </c>
      <c r="AB9" s="467">
        <f>'Sales-COS'!AB32</f>
        <v>0</v>
      </c>
      <c r="AC9" s="467">
        <f>'Sales-COS'!AC32</f>
        <v>0</v>
      </c>
      <c r="AD9" s="509">
        <f aca="true" t="shared" si="2" ref="AD9:AD16">SUM(R9:AC9)</f>
        <v>0</v>
      </c>
    </row>
    <row r="10" spans="1:30" ht="18">
      <c r="A10" s="24" t="str">
        <f>+'Sales-COS'!A10</f>
        <v>Product 3</v>
      </c>
      <c r="B10" s="329"/>
      <c r="C10" s="467">
        <f>'Sales-COS'!C33</f>
        <v>0</v>
      </c>
      <c r="D10" s="467">
        <f>'Sales-COS'!D33</f>
        <v>0</v>
      </c>
      <c r="E10" s="467">
        <f>'Sales-COS'!E33</f>
        <v>0</v>
      </c>
      <c r="F10" s="467">
        <f>'Sales-COS'!F33</f>
        <v>0</v>
      </c>
      <c r="G10" s="467">
        <f>'Sales-COS'!G33</f>
        <v>0</v>
      </c>
      <c r="H10" s="467">
        <f>'Sales-COS'!H33</f>
        <v>0</v>
      </c>
      <c r="I10" s="467">
        <f>'Sales-COS'!I33</f>
        <v>0</v>
      </c>
      <c r="J10" s="467">
        <f>'Sales-COS'!J33</f>
        <v>0</v>
      </c>
      <c r="K10" s="467">
        <f>'Sales-COS'!K33</f>
        <v>0</v>
      </c>
      <c r="L10" s="467">
        <f>'Sales-COS'!L33</f>
        <v>0</v>
      </c>
      <c r="M10" s="467">
        <f>'Sales-COS'!M33</f>
        <v>0</v>
      </c>
      <c r="N10" s="467">
        <f>'Sales-COS'!N33</f>
        <v>0</v>
      </c>
      <c r="O10" s="509">
        <f t="shared" si="0"/>
        <v>0</v>
      </c>
      <c r="P10" s="48" t="str">
        <f t="shared" si="1"/>
        <v>Product 3</v>
      </c>
      <c r="Q10" s="329"/>
      <c r="R10" s="467">
        <f>'Sales-COS'!R33</f>
        <v>0</v>
      </c>
      <c r="S10" s="467">
        <f>'Sales-COS'!S33</f>
        <v>0</v>
      </c>
      <c r="T10" s="467">
        <f>'Sales-COS'!T33</f>
        <v>0</v>
      </c>
      <c r="U10" s="467">
        <f>'Sales-COS'!U33</f>
        <v>0</v>
      </c>
      <c r="V10" s="467">
        <f>'Sales-COS'!V33</f>
        <v>0</v>
      </c>
      <c r="W10" s="467">
        <f>'Sales-COS'!W33</f>
        <v>0</v>
      </c>
      <c r="X10" s="467">
        <f>'Sales-COS'!X33</f>
        <v>0</v>
      </c>
      <c r="Y10" s="467">
        <f>'Sales-COS'!Y33</f>
        <v>0</v>
      </c>
      <c r="Z10" s="467">
        <f>'Sales-COS'!Z33</f>
        <v>0</v>
      </c>
      <c r="AA10" s="467">
        <f>'Sales-COS'!AA33</f>
        <v>0</v>
      </c>
      <c r="AB10" s="467">
        <f>'Sales-COS'!AB33</f>
        <v>0</v>
      </c>
      <c r="AC10" s="467">
        <f>'Sales-COS'!AC33</f>
        <v>0</v>
      </c>
      <c r="AD10" s="509">
        <f t="shared" si="2"/>
        <v>0</v>
      </c>
    </row>
    <row r="11" spans="1:30" ht="18">
      <c r="A11" s="24" t="str">
        <f>+'Sales-COS'!A11</f>
        <v>Product 4</v>
      </c>
      <c r="B11" s="329"/>
      <c r="C11" s="467">
        <f>'Sales-COS'!C34</f>
        <v>0</v>
      </c>
      <c r="D11" s="467">
        <f>'Sales-COS'!D34</f>
        <v>0</v>
      </c>
      <c r="E11" s="467">
        <f>'Sales-COS'!E34</f>
        <v>0</v>
      </c>
      <c r="F11" s="467">
        <f>'Sales-COS'!F34</f>
        <v>0</v>
      </c>
      <c r="G11" s="467">
        <f>'Sales-COS'!G34</f>
        <v>0</v>
      </c>
      <c r="H11" s="467">
        <f>'Sales-COS'!H34</f>
        <v>0</v>
      </c>
      <c r="I11" s="467">
        <f>'Sales-COS'!I34</f>
        <v>0</v>
      </c>
      <c r="J11" s="467">
        <f>'Sales-COS'!J34</f>
        <v>0</v>
      </c>
      <c r="K11" s="467">
        <f>'Sales-COS'!K34</f>
        <v>0</v>
      </c>
      <c r="L11" s="467">
        <f>'Sales-COS'!L34</f>
        <v>0</v>
      </c>
      <c r="M11" s="467">
        <f>'Sales-COS'!M34</f>
        <v>0</v>
      </c>
      <c r="N11" s="467">
        <f>'Sales-COS'!N34</f>
        <v>0</v>
      </c>
      <c r="O11" s="509">
        <f t="shared" si="0"/>
        <v>0</v>
      </c>
      <c r="P11" s="48" t="str">
        <f t="shared" si="1"/>
        <v>Product 4</v>
      </c>
      <c r="Q11" s="329"/>
      <c r="R11" s="467">
        <f>'Sales-COS'!R34</f>
        <v>0</v>
      </c>
      <c r="S11" s="467">
        <f>'Sales-COS'!S34</f>
        <v>0</v>
      </c>
      <c r="T11" s="467">
        <f>'Sales-COS'!T34</f>
        <v>0</v>
      </c>
      <c r="U11" s="467">
        <f>'Sales-COS'!U34</f>
        <v>0</v>
      </c>
      <c r="V11" s="467">
        <f>'Sales-COS'!V34</f>
        <v>0</v>
      </c>
      <c r="W11" s="467">
        <f>'Sales-COS'!W34</f>
        <v>0</v>
      </c>
      <c r="X11" s="467">
        <f>'Sales-COS'!X34</f>
        <v>0</v>
      </c>
      <c r="Y11" s="467">
        <f>'Sales-COS'!Y34</f>
        <v>0</v>
      </c>
      <c r="Z11" s="467">
        <f>'Sales-COS'!Z34</f>
        <v>0</v>
      </c>
      <c r="AA11" s="467">
        <f>'Sales-COS'!AA34</f>
        <v>0</v>
      </c>
      <c r="AB11" s="467">
        <f>'Sales-COS'!AB34</f>
        <v>0</v>
      </c>
      <c r="AC11" s="467">
        <f>'Sales-COS'!AC34</f>
        <v>0</v>
      </c>
      <c r="AD11" s="509">
        <f t="shared" si="2"/>
        <v>0</v>
      </c>
    </row>
    <row r="12" spans="1:30" ht="18">
      <c r="A12" s="24" t="str">
        <f>+'Sales-COS'!A12</f>
        <v>Product 5</v>
      </c>
      <c r="B12" s="329"/>
      <c r="C12" s="467">
        <f>'Sales-COS'!C35</f>
        <v>0</v>
      </c>
      <c r="D12" s="467">
        <f>'Sales-COS'!D35</f>
        <v>0</v>
      </c>
      <c r="E12" s="467">
        <f>'Sales-COS'!E35</f>
        <v>0</v>
      </c>
      <c r="F12" s="467">
        <f>'Sales-COS'!F35</f>
        <v>0</v>
      </c>
      <c r="G12" s="467">
        <f>'Sales-COS'!G35</f>
        <v>0</v>
      </c>
      <c r="H12" s="467">
        <f>'Sales-COS'!H35</f>
        <v>0</v>
      </c>
      <c r="I12" s="467">
        <f>'Sales-COS'!I35</f>
        <v>0</v>
      </c>
      <c r="J12" s="467">
        <f>'Sales-COS'!J35</f>
        <v>0</v>
      </c>
      <c r="K12" s="467">
        <f>'Sales-COS'!K35</f>
        <v>0</v>
      </c>
      <c r="L12" s="467">
        <f>'Sales-COS'!L35</f>
        <v>0</v>
      </c>
      <c r="M12" s="467">
        <f>'Sales-COS'!M35</f>
        <v>0</v>
      </c>
      <c r="N12" s="467">
        <f>'Sales-COS'!N35</f>
        <v>0</v>
      </c>
      <c r="O12" s="509">
        <f t="shared" si="0"/>
        <v>0</v>
      </c>
      <c r="P12" s="48" t="str">
        <f t="shared" si="1"/>
        <v>Product 5</v>
      </c>
      <c r="Q12" s="329"/>
      <c r="R12" s="467">
        <f>'Sales-COS'!R35</f>
        <v>0</v>
      </c>
      <c r="S12" s="467">
        <f>'Sales-COS'!S35</f>
        <v>0</v>
      </c>
      <c r="T12" s="467">
        <f>'Sales-COS'!T35</f>
        <v>0</v>
      </c>
      <c r="U12" s="467">
        <f>'Sales-COS'!U35</f>
        <v>0</v>
      </c>
      <c r="V12" s="467">
        <f>'Sales-COS'!V35</f>
        <v>0</v>
      </c>
      <c r="W12" s="467">
        <f>'Sales-COS'!W35</f>
        <v>0</v>
      </c>
      <c r="X12" s="467">
        <f>'Sales-COS'!X35</f>
        <v>0</v>
      </c>
      <c r="Y12" s="467">
        <f>'Sales-COS'!Y35</f>
        <v>0</v>
      </c>
      <c r="Z12" s="467">
        <f>'Sales-COS'!Z35</f>
        <v>0</v>
      </c>
      <c r="AA12" s="467">
        <f>'Sales-COS'!AA35</f>
        <v>0</v>
      </c>
      <c r="AB12" s="467">
        <f>'Sales-COS'!AB35</f>
        <v>0</v>
      </c>
      <c r="AC12" s="467">
        <f>'Sales-COS'!AC35</f>
        <v>0</v>
      </c>
      <c r="AD12" s="509">
        <f t="shared" si="2"/>
        <v>0</v>
      </c>
    </row>
    <row r="13" spans="1:30" ht="18">
      <c r="A13" s="24" t="str">
        <f>+'Sales-COS'!A13</f>
        <v>Product 6</v>
      </c>
      <c r="B13" s="329"/>
      <c r="C13" s="467">
        <f>'Sales-COS'!C36</f>
        <v>0</v>
      </c>
      <c r="D13" s="467">
        <f>'Sales-COS'!D36</f>
        <v>0</v>
      </c>
      <c r="E13" s="467">
        <f>'Sales-COS'!E36</f>
        <v>0</v>
      </c>
      <c r="F13" s="467">
        <f>'Sales-COS'!F36</f>
        <v>0</v>
      </c>
      <c r="G13" s="467">
        <f>'Sales-COS'!G36</f>
        <v>0</v>
      </c>
      <c r="H13" s="467">
        <f>'Sales-COS'!H36</f>
        <v>0</v>
      </c>
      <c r="I13" s="467">
        <f>'Sales-COS'!I36</f>
        <v>0</v>
      </c>
      <c r="J13" s="467">
        <f>'Sales-COS'!J36</f>
        <v>0</v>
      </c>
      <c r="K13" s="467">
        <f>'Sales-COS'!K36</f>
        <v>0</v>
      </c>
      <c r="L13" s="467">
        <f>'Sales-COS'!L36</f>
        <v>0</v>
      </c>
      <c r="M13" s="467">
        <f>'Sales-COS'!M36</f>
        <v>0</v>
      </c>
      <c r="N13" s="467">
        <f>'Sales-COS'!N36</f>
        <v>0</v>
      </c>
      <c r="O13" s="509">
        <f t="shared" si="0"/>
        <v>0</v>
      </c>
      <c r="P13" s="48" t="str">
        <f t="shared" si="1"/>
        <v>Product 6</v>
      </c>
      <c r="Q13" s="329"/>
      <c r="R13" s="467">
        <f>'Sales-COS'!R36</f>
        <v>0</v>
      </c>
      <c r="S13" s="467">
        <f>'Sales-COS'!S36</f>
        <v>0</v>
      </c>
      <c r="T13" s="467">
        <f>'Sales-COS'!T36</f>
        <v>0</v>
      </c>
      <c r="U13" s="467">
        <f>'Sales-COS'!U36</f>
        <v>0</v>
      </c>
      <c r="V13" s="467">
        <f>'Sales-COS'!V36</f>
        <v>0</v>
      </c>
      <c r="W13" s="467">
        <f>'Sales-COS'!W36</f>
        <v>0</v>
      </c>
      <c r="X13" s="467">
        <f>'Sales-COS'!X36</f>
        <v>0</v>
      </c>
      <c r="Y13" s="467">
        <f>'Sales-COS'!Y36</f>
        <v>0</v>
      </c>
      <c r="Z13" s="467">
        <f>'Sales-COS'!Z36</f>
        <v>0</v>
      </c>
      <c r="AA13" s="467">
        <f>'Sales-COS'!AA36</f>
        <v>0</v>
      </c>
      <c r="AB13" s="467">
        <f>'Sales-COS'!AB36</f>
        <v>0</v>
      </c>
      <c r="AC13" s="467">
        <f>'Sales-COS'!AC36</f>
        <v>0</v>
      </c>
      <c r="AD13" s="509">
        <f t="shared" si="2"/>
        <v>0</v>
      </c>
    </row>
    <row r="14" spans="1:30" ht="18">
      <c r="A14" s="24" t="str">
        <f>+'Sales-COS'!A14</f>
        <v>Product 7</v>
      </c>
      <c r="B14" s="329"/>
      <c r="C14" s="467">
        <f>'Sales-COS'!C37</f>
        <v>0</v>
      </c>
      <c r="D14" s="467">
        <f>'Sales-COS'!D37</f>
        <v>0</v>
      </c>
      <c r="E14" s="467">
        <f>'Sales-COS'!E37</f>
        <v>0</v>
      </c>
      <c r="F14" s="467">
        <f>'Sales-COS'!F37</f>
        <v>0</v>
      </c>
      <c r="G14" s="467">
        <f>'Sales-COS'!G37</f>
        <v>0</v>
      </c>
      <c r="H14" s="467">
        <f>'Sales-COS'!H37</f>
        <v>0</v>
      </c>
      <c r="I14" s="467">
        <f>'Sales-COS'!I37</f>
        <v>0</v>
      </c>
      <c r="J14" s="467">
        <f>'Sales-COS'!J37</f>
        <v>0</v>
      </c>
      <c r="K14" s="467">
        <f>'Sales-COS'!K37</f>
        <v>0</v>
      </c>
      <c r="L14" s="467">
        <f>'Sales-COS'!L37</f>
        <v>0</v>
      </c>
      <c r="M14" s="467">
        <f>'Sales-COS'!M37</f>
        <v>0</v>
      </c>
      <c r="N14" s="467">
        <f>'Sales-COS'!N37</f>
        <v>0</v>
      </c>
      <c r="O14" s="509">
        <f t="shared" si="0"/>
        <v>0</v>
      </c>
      <c r="P14" s="48" t="str">
        <f t="shared" si="1"/>
        <v>Product 7</v>
      </c>
      <c r="Q14" s="329"/>
      <c r="R14" s="467">
        <f>'Sales-COS'!R37</f>
        <v>0</v>
      </c>
      <c r="S14" s="467">
        <f>'Sales-COS'!S37</f>
        <v>0</v>
      </c>
      <c r="T14" s="467">
        <f>'Sales-COS'!T37</f>
        <v>0</v>
      </c>
      <c r="U14" s="467">
        <f>'Sales-COS'!U37</f>
        <v>0</v>
      </c>
      <c r="V14" s="467">
        <f>'Sales-COS'!V37</f>
        <v>0</v>
      </c>
      <c r="W14" s="467">
        <f>'Sales-COS'!W37</f>
        <v>0</v>
      </c>
      <c r="X14" s="467">
        <f>'Sales-COS'!X37</f>
        <v>0</v>
      </c>
      <c r="Y14" s="467">
        <f>'Sales-COS'!Y37</f>
        <v>0</v>
      </c>
      <c r="Z14" s="467">
        <f>'Sales-COS'!Z37</f>
        <v>0</v>
      </c>
      <c r="AA14" s="467">
        <f>'Sales-COS'!AA37</f>
        <v>0</v>
      </c>
      <c r="AB14" s="467">
        <f>'Sales-COS'!AB37</f>
        <v>0</v>
      </c>
      <c r="AC14" s="467">
        <f>'Sales-COS'!AC37</f>
        <v>0</v>
      </c>
      <c r="AD14" s="509">
        <f t="shared" si="2"/>
        <v>0</v>
      </c>
    </row>
    <row r="15" spans="1:30" ht="18">
      <c r="A15" s="50" t="str">
        <f>+'Sales-COS'!A15</f>
        <v>Product 8</v>
      </c>
      <c r="B15" s="421"/>
      <c r="C15" s="467">
        <f>'Sales-COS'!C38</f>
        <v>0</v>
      </c>
      <c r="D15" s="467">
        <f>'Sales-COS'!D38</f>
        <v>0</v>
      </c>
      <c r="E15" s="467">
        <f>'Sales-COS'!E38</f>
        <v>0</v>
      </c>
      <c r="F15" s="467">
        <f>'Sales-COS'!F38</f>
        <v>0</v>
      </c>
      <c r="G15" s="467">
        <f>'Sales-COS'!G38</f>
        <v>0</v>
      </c>
      <c r="H15" s="467">
        <f>'Sales-COS'!H38</f>
        <v>0</v>
      </c>
      <c r="I15" s="467">
        <f>'Sales-COS'!I38</f>
        <v>0</v>
      </c>
      <c r="J15" s="467">
        <f>'Sales-COS'!J38</f>
        <v>0</v>
      </c>
      <c r="K15" s="467">
        <f>'Sales-COS'!K38</f>
        <v>0</v>
      </c>
      <c r="L15" s="467">
        <f>'Sales-COS'!L38</f>
        <v>0</v>
      </c>
      <c r="M15" s="467">
        <f>'Sales-COS'!M38</f>
        <v>0</v>
      </c>
      <c r="N15" s="467">
        <f>'Sales-COS'!N38</f>
        <v>0</v>
      </c>
      <c r="O15" s="472">
        <f t="shared" si="0"/>
        <v>0</v>
      </c>
      <c r="P15" s="277" t="str">
        <f t="shared" si="1"/>
        <v>Product 8</v>
      </c>
      <c r="Q15" s="421"/>
      <c r="R15" s="467">
        <f>'Sales-COS'!R38</f>
        <v>0</v>
      </c>
      <c r="S15" s="467">
        <f>'Sales-COS'!S38</f>
        <v>0</v>
      </c>
      <c r="T15" s="467">
        <f>'Sales-COS'!T38</f>
        <v>0</v>
      </c>
      <c r="U15" s="467">
        <f>'Sales-COS'!U38</f>
        <v>0</v>
      </c>
      <c r="V15" s="467">
        <f>'Sales-COS'!V38</f>
        <v>0</v>
      </c>
      <c r="W15" s="467">
        <f>'Sales-COS'!W38</f>
        <v>0</v>
      </c>
      <c r="X15" s="467">
        <f>'Sales-COS'!X38</f>
        <v>0</v>
      </c>
      <c r="Y15" s="467">
        <f>'Sales-COS'!Y38</f>
        <v>0</v>
      </c>
      <c r="Z15" s="467">
        <f>'Sales-COS'!Z38</f>
        <v>0</v>
      </c>
      <c r="AA15" s="467">
        <f>'Sales-COS'!AA38</f>
        <v>0</v>
      </c>
      <c r="AB15" s="467">
        <f>'Sales-COS'!AB38</f>
        <v>0</v>
      </c>
      <c r="AC15" s="467">
        <f>'Sales-COS'!AC38</f>
        <v>0</v>
      </c>
      <c r="AD15" s="472">
        <f t="shared" si="2"/>
        <v>0</v>
      </c>
    </row>
    <row r="16" spans="1:30" ht="18">
      <c r="A16" s="24" t="s">
        <v>9</v>
      </c>
      <c r="B16" s="329"/>
      <c r="C16" s="511">
        <f>SUM(C8:C15)</f>
        <v>0</v>
      </c>
      <c r="D16" s="512">
        <f aca="true" t="shared" si="3" ref="D16:N16">SUM(D8:D15)</f>
        <v>0</v>
      </c>
      <c r="E16" s="512">
        <f t="shared" si="3"/>
        <v>0</v>
      </c>
      <c r="F16" s="512">
        <f t="shared" si="3"/>
        <v>0</v>
      </c>
      <c r="G16" s="512">
        <f t="shared" si="3"/>
        <v>0</v>
      </c>
      <c r="H16" s="512">
        <f t="shared" si="3"/>
        <v>0</v>
      </c>
      <c r="I16" s="512">
        <f t="shared" si="3"/>
        <v>0</v>
      </c>
      <c r="J16" s="512">
        <f t="shared" si="3"/>
        <v>0</v>
      </c>
      <c r="K16" s="512">
        <f t="shared" si="3"/>
        <v>0</v>
      </c>
      <c r="L16" s="512">
        <f t="shared" si="3"/>
        <v>0</v>
      </c>
      <c r="M16" s="512">
        <f t="shared" si="3"/>
        <v>0</v>
      </c>
      <c r="N16" s="513">
        <f t="shared" si="3"/>
        <v>0</v>
      </c>
      <c r="O16" s="509">
        <f t="shared" si="0"/>
        <v>0</v>
      </c>
      <c r="P16" s="48" t="str">
        <f>A16</f>
        <v>Total Revenue</v>
      </c>
      <c r="Q16" s="329"/>
      <c r="R16" s="511">
        <f aca="true" t="shared" si="4" ref="R16:AC16">SUM(R8:R15)</f>
        <v>0</v>
      </c>
      <c r="S16" s="512">
        <f t="shared" si="4"/>
        <v>0</v>
      </c>
      <c r="T16" s="512">
        <f t="shared" si="4"/>
        <v>0</v>
      </c>
      <c r="U16" s="512">
        <f t="shared" si="4"/>
        <v>0</v>
      </c>
      <c r="V16" s="512">
        <f t="shared" si="4"/>
        <v>0</v>
      </c>
      <c r="W16" s="512">
        <f t="shared" si="4"/>
        <v>0</v>
      </c>
      <c r="X16" s="512">
        <f t="shared" si="4"/>
        <v>0</v>
      </c>
      <c r="Y16" s="512">
        <f t="shared" si="4"/>
        <v>0</v>
      </c>
      <c r="Z16" s="512">
        <f t="shared" si="4"/>
        <v>0</v>
      </c>
      <c r="AA16" s="512">
        <f t="shared" si="4"/>
        <v>0</v>
      </c>
      <c r="AB16" s="512">
        <f t="shared" si="4"/>
        <v>0</v>
      </c>
      <c r="AC16" s="513">
        <f t="shared" si="4"/>
        <v>0</v>
      </c>
      <c r="AD16" s="509">
        <f t="shared" si="2"/>
        <v>0</v>
      </c>
    </row>
    <row r="17" spans="1:30" ht="18">
      <c r="A17" s="448"/>
      <c r="B17" s="30"/>
      <c r="C17" s="467"/>
      <c r="D17" s="467"/>
      <c r="E17" s="467"/>
      <c r="F17" s="467"/>
      <c r="G17" s="467"/>
      <c r="H17" s="467"/>
      <c r="I17" s="467"/>
      <c r="J17" s="467"/>
      <c r="K17" s="467"/>
      <c r="L17" s="467"/>
      <c r="M17" s="467"/>
      <c r="N17" s="467"/>
      <c r="O17" s="234"/>
      <c r="P17" s="48"/>
      <c r="Q17" s="30"/>
      <c r="R17" s="467"/>
      <c r="S17" s="467"/>
      <c r="T17" s="467"/>
      <c r="U17" s="467"/>
      <c r="V17" s="467"/>
      <c r="W17" s="467"/>
      <c r="X17" s="467"/>
      <c r="Y17" s="467"/>
      <c r="Z17" s="467"/>
      <c r="AA17" s="467"/>
      <c r="AB17" s="467"/>
      <c r="AC17" s="467"/>
      <c r="AD17" s="234"/>
    </row>
    <row r="18" spans="1:30" ht="20.25">
      <c r="A18" s="525" t="s">
        <v>415</v>
      </c>
      <c r="C18" s="209"/>
      <c r="D18" s="209"/>
      <c r="E18" s="209"/>
      <c r="F18" s="209"/>
      <c r="G18" s="209"/>
      <c r="H18" s="209"/>
      <c r="I18" s="209"/>
      <c r="J18" s="209"/>
      <c r="K18" s="209"/>
      <c r="L18" s="209"/>
      <c r="M18" s="209"/>
      <c r="N18" s="209"/>
      <c r="O18" s="203"/>
      <c r="P18" s="492" t="str">
        <f>+A18</f>
        <v>COST OF GOODS SOLD</v>
      </c>
      <c r="Q18" s="13"/>
      <c r="R18" s="209"/>
      <c r="S18" s="209"/>
      <c r="T18" s="209"/>
      <c r="U18" s="209"/>
      <c r="V18" s="209"/>
      <c r="W18" s="209"/>
      <c r="X18" s="209"/>
      <c r="Y18" s="209"/>
      <c r="Z18" s="209"/>
      <c r="AA18" s="209"/>
      <c r="AB18" s="209"/>
      <c r="AC18" s="209"/>
      <c r="AD18" s="203"/>
    </row>
    <row r="19" spans="1:30" ht="18">
      <c r="A19" s="24" t="str">
        <f>+'Sales-COS'!A44</f>
        <v>Product 1</v>
      </c>
      <c r="B19" s="110"/>
      <c r="C19" s="204">
        <f>+'Sales-COS'!C44</f>
        <v>0</v>
      </c>
      <c r="D19" s="204">
        <f>+'Sales-COS'!D44</f>
        <v>0</v>
      </c>
      <c r="E19" s="204">
        <f>+'Sales-COS'!E44</f>
        <v>0</v>
      </c>
      <c r="F19" s="204">
        <f>+'Sales-COS'!F44</f>
        <v>0</v>
      </c>
      <c r="G19" s="204">
        <f>+'Sales-COS'!G44</f>
        <v>0</v>
      </c>
      <c r="H19" s="204">
        <f>+'Sales-COS'!H44</f>
        <v>0</v>
      </c>
      <c r="I19" s="204">
        <f>+'Sales-COS'!I44</f>
        <v>0</v>
      </c>
      <c r="J19" s="204">
        <f>+'Sales-COS'!J44</f>
        <v>0</v>
      </c>
      <c r="K19" s="204">
        <f>+'Sales-COS'!K44</f>
        <v>0</v>
      </c>
      <c r="L19" s="204">
        <f>+'Sales-COS'!L44</f>
        <v>0</v>
      </c>
      <c r="M19" s="204">
        <f>+'Sales-COS'!M44</f>
        <v>0</v>
      </c>
      <c r="N19" s="204">
        <f>+'Sales-COS'!N44</f>
        <v>0</v>
      </c>
      <c r="O19" s="647">
        <f>SUM(C19:N19)</f>
        <v>0</v>
      </c>
      <c r="P19" s="24" t="str">
        <f>+A19</f>
        <v>Product 1</v>
      </c>
      <c r="Q19" s="110"/>
      <c r="R19" s="204">
        <f>+'Sales-COS'!R44</f>
        <v>0</v>
      </c>
      <c r="S19" s="204">
        <f>+'Sales-COS'!S44</f>
        <v>0</v>
      </c>
      <c r="T19" s="204">
        <f>+'Sales-COS'!T44</f>
        <v>0</v>
      </c>
      <c r="U19" s="204">
        <f>+'Sales-COS'!U44</f>
        <v>0</v>
      </c>
      <c r="V19" s="204">
        <f>+'Sales-COS'!V44</f>
        <v>0</v>
      </c>
      <c r="W19" s="204">
        <f>+'Sales-COS'!W44</f>
        <v>0</v>
      </c>
      <c r="X19" s="204">
        <f>+'Sales-COS'!X44</f>
        <v>0</v>
      </c>
      <c r="Y19" s="204">
        <f>+'Sales-COS'!Y44</f>
        <v>0</v>
      </c>
      <c r="Z19" s="204">
        <f>+'Sales-COS'!Z44</f>
        <v>0</v>
      </c>
      <c r="AA19" s="204">
        <f>+'Sales-COS'!AA44</f>
        <v>0</v>
      </c>
      <c r="AB19" s="204">
        <f>+'Sales-COS'!AB44</f>
        <v>0</v>
      </c>
      <c r="AC19" s="204">
        <f>+'Sales-COS'!AC44</f>
        <v>0</v>
      </c>
      <c r="AD19" s="647">
        <f>SUM(R19:AC19)</f>
        <v>0</v>
      </c>
    </row>
    <row r="20" spans="1:30" ht="18">
      <c r="A20" s="24" t="str">
        <f>+'Sales-COS'!A45</f>
        <v>Product 2</v>
      </c>
      <c r="B20" s="110"/>
      <c r="C20" s="204">
        <f>+'Sales-COS'!C45</f>
        <v>0</v>
      </c>
      <c r="D20" s="204">
        <f>+'Sales-COS'!D45</f>
        <v>0</v>
      </c>
      <c r="E20" s="204">
        <f>+'Sales-COS'!E45</f>
        <v>0</v>
      </c>
      <c r="F20" s="204">
        <f>+'Sales-COS'!F45</f>
        <v>0</v>
      </c>
      <c r="G20" s="204">
        <f>+'Sales-COS'!G45</f>
        <v>0</v>
      </c>
      <c r="H20" s="204">
        <f>+'Sales-COS'!H45</f>
        <v>0</v>
      </c>
      <c r="I20" s="204">
        <f>+'Sales-COS'!I45</f>
        <v>0</v>
      </c>
      <c r="J20" s="204">
        <f>+'Sales-COS'!J45</f>
        <v>0</v>
      </c>
      <c r="K20" s="204">
        <f>+'Sales-COS'!K45</f>
        <v>0</v>
      </c>
      <c r="L20" s="204">
        <f>+'Sales-COS'!L45</f>
        <v>0</v>
      </c>
      <c r="M20" s="204">
        <f>+'Sales-COS'!M45</f>
        <v>0</v>
      </c>
      <c r="N20" s="204">
        <f>+'Sales-COS'!N45</f>
        <v>0</v>
      </c>
      <c r="O20" s="647">
        <f aca="true" t="shared" si="5" ref="O20:O26">SUM(C20:N20)</f>
        <v>0</v>
      </c>
      <c r="P20" s="24" t="str">
        <f aca="true" t="shared" si="6" ref="P20:P26">+A20</f>
        <v>Product 2</v>
      </c>
      <c r="Q20" s="110"/>
      <c r="R20" s="204">
        <f>+'Sales-COS'!R45</f>
        <v>0</v>
      </c>
      <c r="S20" s="204">
        <f>+'Sales-COS'!S45</f>
        <v>0</v>
      </c>
      <c r="T20" s="204">
        <f>+'Sales-COS'!T45</f>
        <v>0</v>
      </c>
      <c r="U20" s="204">
        <f>+'Sales-COS'!U45</f>
        <v>0</v>
      </c>
      <c r="V20" s="204">
        <f>+'Sales-COS'!V45</f>
        <v>0</v>
      </c>
      <c r="W20" s="204">
        <f>+'Sales-COS'!W45</f>
        <v>0</v>
      </c>
      <c r="X20" s="204">
        <f>+'Sales-COS'!X45</f>
        <v>0</v>
      </c>
      <c r="Y20" s="204">
        <f>+'Sales-COS'!Y45</f>
        <v>0</v>
      </c>
      <c r="Z20" s="204">
        <f>+'Sales-COS'!Z45</f>
        <v>0</v>
      </c>
      <c r="AA20" s="204">
        <f>+'Sales-COS'!AA45</f>
        <v>0</v>
      </c>
      <c r="AB20" s="204">
        <f>+'Sales-COS'!AB45</f>
        <v>0</v>
      </c>
      <c r="AC20" s="204">
        <f>+'Sales-COS'!AC45</f>
        <v>0</v>
      </c>
      <c r="AD20" s="647">
        <f aca="true" t="shared" si="7" ref="AD20:AD26">SUM(R20:AC20)</f>
        <v>0</v>
      </c>
    </row>
    <row r="21" spans="1:30" ht="18">
      <c r="A21" s="24" t="str">
        <f>+'Sales-COS'!A46</f>
        <v>Product 3</v>
      </c>
      <c r="B21" s="110"/>
      <c r="C21" s="204">
        <f>+'Sales-COS'!C46</f>
        <v>0</v>
      </c>
      <c r="D21" s="204">
        <f>+'Sales-COS'!D46</f>
        <v>0</v>
      </c>
      <c r="E21" s="204">
        <f>+'Sales-COS'!E46</f>
        <v>0</v>
      </c>
      <c r="F21" s="204">
        <f>+'Sales-COS'!F46</f>
        <v>0</v>
      </c>
      <c r="G21" s="204">
        <f>+'Sales-COS'!G46</f>
        <v>0</v>
      </c>
      <c r="H21" s="204">
        <f>+'Sales-COS'!H46</f>
        <v>0</v>
      </c>
      <c r="I21" s="204">
        <f>+'Sales-COS'!I46</f>
        <v>0</v>
      </c>
      <c r="J21" s="204">
        <f>+'Sales-COS'!J46</f>
        <v>0</v>
      </c>
      <c r="K21" s="204">
        <f>+'Sales-COS'!K46</f>
        <v>0</v>
      </c>
      <c r="L21" s="204">
        <f>+'Sales-COS'!L46</f>
        <v>0</v>
      </c>
      <c r="M21" s="204">
        <f>+'Sales-COS'!M46</f>
        <v>0</v>
      </c>
      <c r="N21" s="204">
        <f>+'Sales-COS'!N46</f>
        <v>0</v>
      </c>
      <c r="O21" s="647">
        <f t="shared" si="5"/>
        <v>0</v>
      </c>
      <c r="P21" s="24" t="str">
        <f t="shared" si="6"/>
        <v>Product 3</v>
      </c>
      <c r="Q21" s="110"/>
      <c r="R21" s="204">
        <f>+'Sales-COS'!R46</f>
        <v>0</v>
      </c>
      <c r="S21" s="204">
        <f>+'Sales-COS'!S46</f>
        <v>0</v>
      </c>
      <c r="T21" s="204">
        <f>+'Sales-COS'!T46</f>
        <v>0</v>
      </c>
      <c r="U21" s="204">
        <f>+'Sales-COS'!U46</f>
        <v>0</v>
      </c>
      <c r="V21" s="204">
        <f>+'Sales-COS'!V46</f>
        <v>0</v>
      </c>
      <c r="W21" s="204">
        <f>+'Sales-COS'!W46</f>
        <v>0</v>
      </c>
      <c r="X21" s="204">
        <f>+'Sales-COS'!X46</f>
        <v>0</v>
      </c>
      <c r="Y21" s="204">
        <f>+'Sales-COS'!Y46</f>
        <v>0</v>
      </c>
      <c r="Z21" s="204">
        <f>+'Sales-COS'!Z46</f>
        <v>0</v>
      </c>
      <c r="AA21" s="204">
        <f>+'Sales-COS'!AA46</f>
        <v>0</v>
      </c>
      <c r="AB21" s="204">
        <f>+'Sales-COS'!AB46</f>
        <v>0</v>
      </c>
      <c r="AC21" s="204">
        <f>+'Sales-COS'!AC46</f>
        <v>0</v>
      </c>
      <c r="AD21" s="647">
        <f t="shared" si="7"/>
        <v>0</v>
      </c>
    </row>
    <row r="22" spans="1:30" ht="18">
      <c r="A22" s="24" t="str">
        <f>+'Sales-COS'!A47</f>
        <v>Product 4</v>
      </c>
      <c r="B22" s="110"/>
      <c r="C22" s="204">
        <f>+'Sales-COS'!C47</f>
        <v>0</v>
      </c>
      <c r="D22" s="204">
        <f>+'Sales-COS'!D47</f>
        <v>0</v>
      </c>
      <c r="E22" s="204">
        <f>+'Sales-COS'!E47</f>
        <v>0</v>
      </c>
      <c r="F22" s="204">
        <f>+'Sales-COS'!F47</f>
        <v>0</v>
      </c>
      <c r="G22" s="204">
        <f>+'Sales-COS'!G47</f>
        <v>0</v>
      </c>
      <c r="H22" s="204">
        <f>+'Sales-COS'!H47</f>
        <v>0</v>
      </c>
      <c r="I22" s="204">
        <f>+'Sales-COS'!I47</f>
        <v>0</v>
      </c>
      <c r="J22" s="204">
        <f>+'Sales-COS'!J47</f>
        <v>0</v>
      </c>
      <c r="K22" s="204">
        <f>+'Sales-COS'!K47</f>
        <v>0</v>
      </c>
      <c r="L22" s="204">
        <f>+'Sales-COS'!L47</f>
        <v>0</v>
      </c>
      <c r="M22" s="204">
        <f>+'Sales-COS'!M47</f>
        <v>0</v>
      </c>
      <c r="N22" s="204">
        <f>+'Sales-COS'!N47</f>
        <v>0</v>
      </c>
      <c r="O22" s="647">
        <f t="shared" si="5"/>
        <v>0</v>
      </c>
      <c r="P22" s="24" t="str">
        <f t="shared" si="6"/>
        <v>Product 4</v>
      </c>
      <c r="Q22" s="110"/>
      <c r="R22" s="204">
        <f>+'Sales-COS'!R47</f>
        <v>0</v>
      </c>
      <c r="S22" s="204">
        <f>+'Sales-COS'!S47</f>
        <v>0</v>
      </c>
      <c r="T22" s="204">
        <f>+'Sales-COS'!T47</f>
        <v>0</v>
      </c>
      <c r="U22" s="204">
        <f>+'Sales-COS'!U47</f>
        <v>0</v>
      </c>
      <c r="V22" s="204">
        <f>+'Sales-COS'!V47</f>
        <v>0</v>
      </c>
      <c r="W22" s="204">
        <f>+'Sales-COS'!W47</f>
        <v>0</v>
      </c>
      <c r="X22" s="204">
        <f>+'Sales-COS'!X47</f>
        <v>0</v>
      </c>
      <c r="Y22" s="204">
        <f>+'Sales-COS'!Y47</f>
        <v>0</v>
      </c>
      <c r="Z22" s="204">
        <f>+'Sales-COS'!Z47</f>
        <v>0</v>
      </c>
      <c r="AA22" s="204">
        <f>+'Sales-COS'!AA47</f>
        <v>0</v>
      </c>
      <c r="AB22" s="204">
        <f>+'Sales-COS'!AB47</f>
        <v>0</v>
      </c>
      <c r="AC22" s="204">
        <f>+'Sales-COS'!AC47</f>
        <v>0</v>
      </c>
      <c r="AD22" s="647">
        <f t="shared" si="7"/>
        <v>0</v>
      </c>
    </row>
    <row r="23" spans="1:30" ht="18">
      <c r="A23" s="24" t="str">
        <f>+'Sales-COS'!A48</f>
        <v>Product 5</v>
      </c>
      <c r="B23" s="110"/>
      <c r="C23" s="204">
        <f>+'Sales-COS'!C48</f>
        <v>0</v>
      </c>
      <c r="D23" s="204">
        <f>+'Sales-COS'!D48</f>
        <v>0</v>
      </c>
      <c r="E23" s="204">
        <f>+'Sales-COS'!E48</f>
        <v>0</v>
      </c>
      <c r="F23" s="204">
        <f>+'Sales-COS'!F48</f>
        <v>0</v>
      </c>
      <c r="G23" s="204">
        <f>+'Sales-COS'!G48</f>
        <v>0</v>
      </c>
      <c r="H23" s="204">
        <f>+'Sales-COS'!H48</f>
        <v>0</v>
      </c>
      <c r="I23" s="204">
        <f>+'Sales-COS'!I48</f>
        <v>0</v>
      </c>
      <c r="J23" s="204">
        <f>+'Sales-COS'!J48</f>
        <v>0</v>
      </c>
      <c r="K23" s="204">
        <f>+'Sales-COS'!K48</f>
        <v>0</v>
      </c>
      <c r="L23" s="204">
        <f>+'Sales-COS'!L48</f>
        <v>0</v>
      </c>
      <c r="M23" s="204">
        <f>+'Sales-COS'!M48</f>
        <v>0</v>
      </c>
      <c r="N23" s="204">
        <f>+'Sales-COS'!N48</f>
        <v>0</v>
      </c>
      <c r="O23" s="647">
        <f t="shared" si="5"/>
        <v>0</v>
      </c>
      <c r="P23" s="24" t="str">
        <f t="shared" si="6"/>
        <v>Product 5</v>
      </c>
      <c r="Q23" s="110"/>
      <c r="R23" s="204">
        <f>+'Sales-COS'!R48</f>
        <v>0</v>
      </c>
      <c r="S23" s="204">
        <f>+'Sales-COS'!S48</f>
        <v>0</v>
      </c>
      <c r="T23" s="204">
        <f>+'Sales-COS'!T48</f>
        <v>0</v>
      </c>
      <c r="U23" s="204">
        <f>+'Sales-COS'!U48</f>
        <v>0</v>
      </c>
      <c r="V23" s="204">
        <f>+'Sales-COS'!V48</f>
        <v>0</v>
      </c>
      <c r="W23" s="204">
        <f>+'Sales-COS'!W48</f>
        <v>0</v>
      </c>
      <c r="X23" s="204">
        <f>+'Sales-COS'!X48</f>
        <v>0</v>
      </c>
      <c r="Y23" s="204">
        <f>+'Sales-COS'!Y48</f>
        <v>0</v>
      </c>
      <c r="Z23" s="204">
        <f>+'Sales-COS'!Z48</f>
        <v>0</v>
      </c>
      <c r="AA23" s="204">
        <f>+'Sales-COS'!AA48</f>
        <v>0</v>
      </c>
      <c r="AB23" s="204">
        <f>+'Sales-COS'!AB48</f>
        <v>0</v>
      </c>
      <c r="AC23" s="204">
        <f>+'Sales-COS'!AC48</f>
        <v>0</v>
      </c>
      <c r="AD23" s="647">
        <f t="shared" si="7"/>
        <v>0</v>
      </c>
    </row>
    <row r="24" spans="1:30" ht="18">
      <c r="A24" s="24" t="str">
        <f>+'Sales-COS'!A49</f>
        <v>Product 6</v>
      </c>
      <c r="B24" s="110"/>
      <c r="C24" s="204">
        <f>+'Sales-COS'!C49</f>
        <v>0</v>
      </c>
      <c r="D24" s="204">
        <f>+'Sales-COS'!D49</f>
        <v>0</v>
      </c>
      <c r="E24" s="204">
        <f>+'Sales-COS'!E49</f>
        <v>0</v>
      </c>
      <c r="F24" s="204">
        <f>+'Sales-COS'!F49</f>
        <v>0</v>
      </c>
      <c r="G24" s="204">
        <f>+'Sales-COS'!G49</f>
        <v>0</v>
      </c>
      <c r="H24" s="204">
        <f>+'Sales-COS'!H49</f>
        <v>0</v>
      </c>
      <c r="I24" s="204">
        <f>+'Sales-COS'!I49</f>
        <v>0</v>
      </c>
      <c r="J24" s="204">
        <f>+'Sales-COS'!J49</f>
        <v>0</v>
      </c>
      <c r="K24" s="204">
        <f>+'Sales-COS'!K49</f>
        <v>0</v>
      </c>
      <c r="L24" s="204">
        <f>+'Sales-COS'!L49</f>
        <v>0</v>
      </c>
      <c r="M24" s="204">
        <f>+'Sales-COS'!M49</f>
        <v>0</v>
      </c>
      <c r="N24" s="204">
        <f>+'Sales-COS'!N49</f>
        <v>0</v>
      </c>
      <c r="O24" s="647">
        <f t="shared" si="5"/>
        <v>0</v>
      </c>
      <c r="P24" s="24" t="str">
        <f t="shared" si="6"/>
        <v>Product 6</v>
      </c>
      <c r="Q24" s="110"/>
      <c r="R24" s="204">
        <f>+'Sales-COS'!R49</f>
        <v>0</v>
      </c>
      <c r="S24" s="204">
        <f>+'Sales-COS'!S49</f>
        <v>0</v>
      </c>
      <c r="T24" s="204">
        <f>+'Sales-COS'!T49</f>
        <v>0</v>
      </c>
      <c r="U24" s="204">
        <f>+'Sales-COS'!U49</f>
        <v>0</v>
      </c>
      <c r="V24" s="204">
        <f>+'Sales-COS'!V49</f>
        <v>0</v>
      </c>
      <c r="W24" s="204">
        <f>+'Sales-COS'!W49</f>
        <v>0</v>
      </c>
      <c r="X24" s="204">
        <f>+'Sales-COS'!X49</f>
        <v>0</v>
      </c>
      <c r="Y24" s="204">
        <f>+'Sales-COS'!Y49</f>
        <v>0</v>
      </c>
      <c r="Z24" s="204">
        <f>+'Sales-COS'!Z49</f>
        <v>0</v>
      </c>
      <c r="AA24" s="204">
        <f>+'Sales-COS'!AA49</f>
        <v>0</v>
      </c>
      <c r="AB24" s="204">
        <f>+'Sales-COS'!AB49</f>
        <v>0</v>
      </c>
      <c r="AC24" s="204">
        <f>+'Sales-COS'!AC49</f>
        <v>0</v>
      </c>
      <c r="AD24" s="647">
        <f t="shared" si="7"/>
        <v>0</v>
      </c>
    </row>
    <row r="25" spans="1:30" ht="18">
      <c r="A25" s="24" t="str">
        <f>+'Sales-COS'!A50</f>
        <v>Product 7</v>
      </c>
      <c r="B25" s="110"/>
      <c r="C25" s="204">
        <f>+'Sales-COS'!C50</f>
        <v>0</v>
      </c>
      <c r="D25" s="204">
        <f>+'Sales-COS'!D50</f>
        <v>0</v>
      </c>
      <c r="E25" s="204">
        <f>+'Sales-COS'!E50</f>
        <v>0</v>
      </c>
      <c r="F25" s="204">
        <f>+'Sales-COS'!F50</f>
        <v>0</v>
      </c>
      <c r="G25" s="204">
        <f>+'Sales-COS'!G50</f>
        <v>0</v>
      </c>
      <c r="H25" s="204">
        <f>+'Sales-COS'!H50</f>
        <v>0</v>
      </c>
      <c r="I25" s="204">
        <f>+'Sales-COS'!I50</f>
        <v>0</v>
      </c>
      <c r="J25" s="204">
        <f>+'Sales-COS'!J50</f>
        <v>0</v>
      </c>
      <c r="K25" s="204">
        <f>+'Sales-COS'!K50</f>
        <v>0</v>
      </c>
      <c r="L25" s="204">
        <f>+'Sales-COS'!L50</f>
        <v>0</v>
      </c>
      <c r="M25" s="204">
        <f>+'Sales-COS'!M50</f>
        <v>0</v>
      </c>
      <c r="N25" s="204">
        <f>+'Sales-COS'!N50</f>
        <v>0</v>
      </c>
      <c r="O25" s="647">
        <f t="shared" si="5"/>
        <v>0</v>
      </c>
      <c r="P25" s="24" t="str">
        <f t="shared" si="6"/>
        <v>Product 7</v>
      </c>
      <c r="Q25" s="110"/>
      <c r="R25" s="204">
        <f>+'Sales-COS'!R50</f>
        <v>0</v>
      </c>
      <c r="S25" s="204">
        <f>+'Sales-COS'!S50</f>
        <v>0</v>
      </c>
      <c r="T25" s="204">
        <f>+'Sales-COS'!T50</f>
        <v>0</v>
      </c>
      <c r="U25" s="204">
        <f>+'Sales-COS'!U50</f>
        <v>0</v>
      </c>
      <c r="V25" s="204">
        <f>+'Sales-COS'!V50</f>
        <v>0</v>
      </c>
      <c r="W25" s="204">
        <f>+'Sales-COS'!W50</f>
        <v>0</v>
      </c>
      <c r="X25" s="204">
        <f>+'Sales-COS'!X50</f>
        <v>0</v>
      </c>
      <c r="Y25" s="204">
        <f>+'Sales-COS'!Y50</f>
        <v>0</v>
      </c>
      <c r="Z25" s="204">
        <f>+'Sales-COS'!Z50</f>
        <v>0</v>
      </c>
      <c r="AA25" s="204">
        <f>+'Sales-COS'!AA50</f>
        <v>0</v>
      </c>
      <c r="AB25" s="204">
        <f>+'Sales-COS'!AB50</f>
        <v>0</v>
      </c>
      <c r="AC25" s="204">
        <f>+'Sales-COS'!AC50</f>
        <v>0</v>
      </c>
      <c r="AD25" s="647">
        <f t="shared" si="7"/>
        <v>0</v>
      </c>
    </row>
    <row r="26" spans="1:30" ht="18">
      <c r="A26" s="24" t="str">
        <f>+'Sales-COS'!A51</f>
        <v>Product 8</v>
      </c>
      <c r="B26" s="110"/>
      <c r="C26" s="204">
        <f>+'Sales-COS'!C51</f>
        <v>0</v>
      </c>
      <c r="D26" s="204">
        <f>+'Sales-COS'!D51</f>
        <v>0</v>
      </c>
      <c r="E26" s="204">
        <f>+'Sales-COS'!E51</f>
        <v>0</v>
      </c>
      <c r="F26" s="204">
        <f>+'Sales-COS'!F51</f>
        <v>0</v>
      </c>
      <c r="G26" s="204">
        <f>+'Sales-COS'!G51</f>
        <v>0</v>
      </c>
      <c r="H26" s="204">
        <f>+'Sales-COS'!H51</f>
        <v>0</v>
      </c>
      <c r="I26" s="204">
        <f>+'Sales-COS'!I51</f>
        <v>0</v>
      </c>
      <c r="J26" s="204">
        <f>+'Sales-COS'!J51</f>
        <v>0</v>
      </c>
      <c r="K26" s="204">
        <f>+'Sales-COS'!K51</f>
        <v>0</v>
      </c>
      <c r="L26" s="204">
        <f>+'Sales-COS'!L51</f>
        <v>0</v>
      </c>
      <c r="M26" s="204">
        <f>+'Sales-COS'!M51</f>
        <v>0</v>
      </c>
      <c r="N26" s="204">
        <f>+'Sales-COS'!N51</f>
        <v>0</v>
      </c>
      <c r="O26" s="647">
        <f t="shared" si="5"/>
        <v>0</v>
      </c>
      <c r="P26" s="24" t="str">
        <f t="shared" si="6"/>
        <v>Product 8</v>
      </c>
      <c r="Q26" s="110"/>
      <c r="R26" s="204">
        <f>+'Sales-COS'!R51</f>
        <v>0</v>
      </c>
      <c r="S26" s="204">
        <f>+'Sales-COS'!S51</f>
        <v>0</v>
      </c>
      <c r="T26" s="204">
        <f>+'Sales-COS'!T51</f>
        <v>0</v>
      </c>
      <c r="U26" s="204">
        <f>+'Sales-COS'!U51</f>
        <v>0</v>
      </c>
      <c r="V26" s="204">
        <f>+'Sales-COS'!V51</f>
        <v>0</v>
      </c>
      <c r="W26" s="204">
        <f>+'Sales-COS'!W51</f>
        <v>0</v>
      </c>
      <c r="X26" s="204">
        <f>+'Sales-COS'!X51</f>
        <v>0</v>
      </c>
      <c r="Y26" s="204">
        <f>+'Sales-COS'!Y51</f>
        <v>0</v>
      </c>
      <c r="Z26" s="204">
        <f>+'Sales-COS'!Z51</f>
        <v>0</v>
      </c>
      <c r="AA26" s="204">
        <f>+'Sales-COS'!AA51</f>
        <v>0</v>
      </c>
      <c r="AB26" s="204">
        <f>+'Sales-COS'!AB51</f>
        <v>0</v>
      </c>
      <c r="AC26" s="204">
        <f>+'Sales-COS'!AC51</f>
        <v>0</v>
      </c>
      <c r="AD26" s="647">
        <f t="shared" si="7"/>
        <v>0</v>
      </c>
    </row>
    <row r="27" spans="1:30" ht="18">
      <c r="A27" s="162" t="s">
        <v>414</v>
      </c>
      <c r="B27" s="648"/>
      <c r="C27" s="468">
        <f aca="true" t="shared" si="8" ref="C27:O27">SUM(C19:C26)</f>
        <v>0</v>
      </c>
      <c r="D27" s="468">
        <f t="shared" si="8"/>
        <v>0</v>
      </c>
      <c r="E27" s="468">
        <f t="shared" si="8"/>
        <v>0</v>
      </c>
      <c r="F27" s="468">
        <f t="shared" si="8"/>
        <v>0</v>
      </c>
      <c r="G27" s="468">
        <f t="shared" si="8"/>
        <v>0</v>
      </c>
      <c r="H27" s="468">
        <f t="shared" si="8"/>
        <v>0</v>
      </c>
      <c r="I27" s="468">
        <f t="shared" si="8"/>
        <v>0</v>
      </c>
      <c r="J27" s="468">
        <f t="shared" si="8"/>
        <v>0</v>
      </c>
      <c r="K27" s="468">
        <f t="shared" si="8"/>
        <v>0</v>
      </c>
      <c r="L27" s="468">
        <f t="shared" si="8"/>
        <v>0</v>
      </c>
      <c r="M27" s="468">
        <f t="shared" si="8"/>
        <v>0</v>
      </c>
      <c r="N27" s="468">
        <f t="shared" si="8"/>
        <v>0</v>
      </c>
      <c r="O27" s="641">
        <f t="shared" si="8"/>
        <v>0</v>
      </c>
      <c r="P27" s="162" t="str">
        <f>IF(A27="","",A27)</f>
        <v>Total Cost of Goods Sold</v>
      </c>
      <c r="Q27" s="648"/>
      <c r="R27" s="468">
        <f aca="true" t="shared" si="9" ref="R27:AD27">SUM(R19:R26)</f>
        <v>0</v>
      </c>
      <c r="S27" s="468">
        <f t="shared" si="9"/>
        <v>0</v>
      </c>
      <c r="T27" s="468">
        <f t="shared" si="9"/>
        <v>0</v>
      </c>
      <c r="U27" s="468">
        <f t="shared" si="9"/>
        <v>0</v>
      </c>
      <c r="V27" s="468">
        <f t="shared" si="9"/>
        <v>0</v>
      </c>
      <c r="W27" s="468">
        <f t="shared" si="9"/>
        <v>0</v>
      </c>
      <c r="X27" s="468">
        <f t="shared" si="9"/>
        <v>0</v>
      </c>
      <c r="Y27" s="468">
        <f t="shared" si="9"/>
        <v>0</v>
      </c>
      <c r="Z27" s="468">
        <f t="shared" si="9"/>
        <v>0</v>
      </c>
      <c r="AA27" s="468">
        <f t="shared" si="9"/>
        <v>0</v>
      </c>
      <c r="AB27" s="468">
        <f t="shared" si="9"/>
        <v>0</v>
      </c>
      <c r="AC27" s="468">
        <f t="shared" si="9"/>
        <v>0</v>
      </c>
      <c r="AD27" s="641">
        <f t="shared" si="9"/>
        <v>0</v>
      </c>
    </row>
    <row r="28" spans="3:30" ht="18">
      <c r="C28" s="203"/>
      <c r="D28" s="203"/>
      <c r="E28" s="203"/>
      <c r="F28" s="203"/>
      <c r="G28" s="203"/>
      <c r="H28" s="203"/>
      <c r="I28" s="203"/>
      <c r="J28" s="203"/>
      <c r="K28" s="203"/>
      <c r="L28" s="203"/>
      <c r="M28" s="203"/>
      <c r="N28" s="203"/>
      <c r="O28" s="202"/>
      <c r="R28" s="203"/>
      <c r="S28" s="203"/>
      <c r="T28" s="203"/>
      <c r="U28" s="203"/>
      <c r="V28" s="203"/>
      <c r="W28" s="203"/>
      <c r="X28" s="203"/>
      <c r="Y28" s="203"/>
      <c r="Z28" s="203"/>
      <c r="AA28" s="203"/>
      <c r="AB28" s="203"/>
      <c r="AC28" s="203"/>
      <c r="AD28" s="203"/>
    </row>
    <row r="29" spans="1:30" ht="18">
      <c r="A29" s="35" t="s">
        <v>101</v>
      </c>
      <c r="C29" s="450">
        <f aca="true" t="shared" si="10" ref="C29:N29">+C16-C27</f>
        <v>0</v>
      </c>
      <c r="D29" s="451">
        <f t="shared" si="10"/>
        <v>0</v>
      </c>
      <c r="E29" s="451">
        <f t="shared" si="10"/>
        <v>0</v>
      </c>
      <c r="F29" s="451">
        <f t="shared" si="10"/>
        <v>0</v>
      </c>
      <c r="G29" s="451">
        <f t="shared" si="10"/>
        <v>0</v>
      </c>
      <c r="H29" s="451">
        <f t="shared" si="10"/>
        <v>0</v>
      </c>
      <c r="I29" s="451">
        <f t="shared" si="10"/>
        <v>0</v>
      </c>
      <c r="J29" s="451">
        <f t="shared" si="10"/>
        <v>0</v>
      </c>
      <c r="K29" s="451">
        <f t="shared" si="10"/>
        <v>0</v>
      </c>
      <c r="L29" s="451">
        <f t="shared" si="10"/>
        <v>0</v>
      </c>
      <c r="M29" s="451">
        <f t="shared" si="10"/>
        <v>0</v>
      </c>
      <c r="N29" s="452">
        <f t="shared" si="10"/>
        <v>0</v>
      </c>
      <c r="O29" s="449">
        <f>SUM(C29:N29)</f>
        <v>0</v>
      </c>
      <c r="P29" s="35" t="s">
        <v>10</v>
      </c>
      <c r="R29" s="450">
        <f aca="true" t="shared" si="11" ref="R29:AC29">+R16-R27</f>
        <v>0</v>
      </c>
      <c r="S29" s="451">
        <f t="shared" si="11"/>
        <v>0</v>
      </c>
      <c r="T29" s="451">
        <f t="shared" si="11"/>
        <v>0</v>
      </c>
      <c r="U29" s="451">
        <f t="shared" si="11"/>
        <v>0</v>
      </c>
      <c r="V29" s="451">
        <f t="shared" si="11"/>
        <v>0</v>
      </c>
      <c r="W29" s="451">
        <f t="shared" si="11"/>
        <v>0</v>
      </c>
      <c r="X29" s="451">
        <f t="shared" si="11"/>
        <v>0</v>
      </c>
      <c r="Y29" s="451">
        <f t="shared" si="11"/>
        <v>0</v>
      </c>
      <c r="Z29" s="451">
        <f t="shared" si="11"/>
        <v>0</v>
      </c>
      <c r="AA29" s="451">
        <f t="shared" si="11"/>
        <v>0</v>
      </c>
      <c r="AB29" s="451">
        <f t="shared" si="11"/>
        <v>0</v>
      </c>
      <c r="AC29" s="452">
        <f t="shared" si="11"/>
        <v>0</v>
      </c>
      <c r="AD29" s="449">
        <f>SUM(R29:AC29)</f>
        <v>0</v>
      </c>
    </row>
    <row r="30" spans="1:30" ht="18">
      <c r="A30" s="35"/>
      <c r="C30" s="633"/>
      <c r="D30" s="456"/>
      <c r="E30" s="456"/>
      <c r="F30" s="456"/>
      <c r="G30" s="456"/>
      <c r="H30" s="456"/>
      <c r="I30" s="456"/>
      <c r="J30" s="456"/>
      <c r="K30" s="456"/>
      <c r="L30" s="456"/>
      <c r="M30" s="456"/>
      <c r="N30" s="456"/>
      <c r="O30" s="455"/>
      <c r="P30" s="35"/>
      <c r="R30" s="456"/>
      <c r="S30" s="456"/>
      <c r="T30" s="456"/>
      <c r="U30" s="456"/>
      <c r="V30" s="456"/>
      <c r="W30" s="456"/>
      <c r="X30" s="456"/>
      <c r="Y30" s="456"/>
      <c r="Z30" s="456"/>
      <c r="AA30" s="456"/>
      <c r="AB30" s="456"/>
      <c r="AC30" s="456"/>
      <c r="AD30" s="455"/>
    </row>
    <row r="31" spans="3:30" ht="18">
      <c r="C31" s="203"/>
      <c r="D31" s="203"/>
      <c r="E31" s="203"/>
      <c r="F31" s="203"/>
      <c r="G31" s="203"/>
      <c r="H31" s="203"/>
      <c r="I31" s="203"/>
      <c r="J31" s="203"/>
      <c r="K31" s="203"/>
      <c r="L31" s="203"/>
      <c r="M31" s="203"/>
      <c r="N31" s="203"/>
      <c r="O31" s="203"/>
      <c r="R31" s="203"/>
      <c r="S31" s="203"/>
      <c r="T31" s="203"/>
      <c r="U31" s="203"/>
      <c r="V31" s="203"/>
      <c r="W31" s="203"/>
      <c r="X31" s="203"/>
      <c r="Y31" s="203"/>
      <c r="Z31" s="203"/>
      <c r="AA31" s="203"/>
      <c r="AB31" s="203"/>
      <c r="AC31" s="203"/>
      <c r="AD31" s="203"/>
    </row>
    <row r="32" spans="1:30" ht="25.5" customHeight="1">
      <c r="A32" s="51" t="s">
        <v>12</v>
      </c>
      <c r="C32" s="202"/>
      <c r="D32" s="202"/>
      <c r="E32" s="202"/>
      <c r="F32" s="202"/>
      <c r="G32" s="202"/>
      <c r="H32" s="202"/>
      <c r="I32" s="202"/>
      <c r="J32" s="202"/>
      <c r="K32" s="202"/>
      <c r="L32" s="202"/>
      <c r="M32" s="202"/>
      <c r="N32" s="202"/>
      <c r="O32" s="203"/>
      <c r="P32" s="527" t="s">
        <v>12</v>
      </c>
      <c r="Q32" s="13"/>
      <c r="R32" s="209"/>
      <c r="S32" s="209"/>
      <c r="T32" s="209"/>
      <c r="U32" s="209"/>
      <c r="V32" s="209"/>
      <c r="W32" s="209"/>
      <c r="X32" s="209"/>
      <c r="Y32" s="209"/>
      <c r="Z32" s="209"/>
      <c r="AA32" s="209"/>
      <c r="AB32" s="209"/>
      <c r="AC32" s="209"/>
      <c r="AD32" s="203"/>
    </row>
    <row r="33" spans="1:30" ht="18" customHeight="1">
      <c r="A33" s="48" t="str">
        <f>+Expenses!A6</f>
        <v>Employee Related</v>
      </c>
      <c r="B33" s="110"/>
      <c r="C33" s="642">
        <f>+Expenses!C16</f>
        <v>0</v>
      </c>
      <c r="D33" s="643">
        <f>+Expenses!D16</f>
        <v>0</v>
      </c>
      <c r="E33" s="643">
        <f>+Expenses!E16</f>
        <v>0</v>
      </c>
      <c r="F33" s="643">
        <f>+Expenses!F16</f>
        <v>0</v>
      </c>
      <c r="G33" s="643">
        <f>+Expenses!G16</f>
        <v>0</v>
      </c>
      <c r="H33" s="643">
        <f>+Expenses!H16</f>
        <v>0</v>
      </c>
      <c r="I33" s="643">
        <f>+Expenses!I16</f>
        <v>0</v>
      </c>
      <c r="J33" s="643">
        <f>+Expenses!J16</f>
        <v>0</v>
      </c>
      <c r="K33" s="643">
        <f>+Expenses!K16</f>
        <v>0</v>
      </c>
      <c r="L33" s="643">
        <f>+Expenses!L16</f>
        <v>0</v>
      </c>
      <c r="M33" s="643">
        <f>+Expenses!M16</f>
        <v>0</v>
      </c>
      <c r="N33" s="644">
        <f>+Expenses!N16</f>
        <v>0</v>
      </c>
      <c r="O33" s="509">
        <f>SUM(C33:N33)</f>
        <v>0</v>
      </c>
      <c r="P33" s="48" t="str">
        <f>IF(A33="","",A33)</f>
        <v>Employee Related</v>
      </c>
      <c r="Q33" s="110"/>
      <c r="R33" s="642">
        <f>+Expenses!R16</f>
        <v>0</v>
      </c>
      <c r="S33" s="643">
        <f>+Expenses!S16</f>
        <v>0</v>
      </c>
      <c r="T33" s="643">
        <f>+Expenses!T16</f>
        <v>0</v>
      </c>
      <c r="U33" s="643">
        <f>+Expenses!U16</f>
        <v>0</v>
      </c>
      <c r="V33" s="643">
        <f>+Expenses!V16</f>
        <v>0</v>
      </c>
      <c r="W33" s="643">
        <f>+Expenses!W16</f>
        <v>0</v>
      </c>
      <c r="X33" s="643">
        <f>+Expenses!X16</f>
        <v>0</v>
      </c>
      <c r="Y33" s="643">
        <f>+Expenses!Y16</f>
        <v>0</v>
      </c>
      <c r="Z33" s="643">
        <f>+Expenses!Z16</f>
        <v>0</v>
      </c>
      <c r="AA33" s="643">
        <f>+Expenses!AA16</f>
        <v>0</v>
      </c>
      <c r="AB33" s="643">
        <f>+Expenses!AB16</f>
        <v>0</v>
      </c>
      <c r="AC33" s="644">
        <f>+Expenses!AC16</f>
        <v>0</v>
      </c>
      <c r="AD33" s="509">
        <f>SUM(R33:AC33)</f>
        <v>0</v>
      </c>
    </row>
    <row r="34" spans="1:30" ht="18" customHeight="1">
      <c r="A34" s="48" t="str">
        <f>+Expenses!A18</f>
        <v>Advertising, Promotion, &amp; Bus Dev</v>
      </c>
      <c r="B34" s="110"/>
      <c r="C34" s="645">
        <f>+Expenses!C23</f>
        <v>0</v>
      </c>
      <c r="D34" s="445">
        <f>+Expenses!D23</f>
        <v>0</v>
      </c>
      <c r="E34" s="445">
        <f>+Expenses!E23</f>
        <v>0</v>
      </c>
      <c r="F34" s="445">
        <f>+Expenses!F23</f>
        <v>0</v>
      </c>
      <c r="G34" s="445">
        <f>+Expenses!G23</f>
        <v>0</v>
      </c>
      <c r="H34" s="445">
        <f>+Expenses!H23</f>
        <v>0</v>
      </c>
      <c r="I34" s="445">
        <f>+Expenses!I23</f>
        <v>0</v>
      </c>
      <c r="J34" s="445">
        <f>+Expenses!J23</f>
        <v>0</v>
      </c>
      <c r="K34" s="445">
        <f>+Expenses!K23</f>
        <v>0</v>
      </c>
      <c r="L34" s="445">
        <f>+Expenses!L23</f>
        <v>0</v>
      </c>
      <c r="M34" s="445">
        <f>+Expenses!M23</f>
        <v>0</v>
      </c>
      <c r="N34" s="646">
        <f>+Expenses!N23</f>
        <v>0</v>
      </c>
      <c r="O34" s="509">
        <f>SUM(C34:N34)</f>
        <v>0</v>
      </c>
      <c r="P34" s="48" t="str">
        <f aca="true" t="shared" si="12" ref="P34:P48">IF(A34="","",A34)</f>
        <v>Advertising, Promotion, &amp; Bus Dev</v>
      </c>
      <c r="Q34" s="110"/>
      <c r="R34" s="645">
        <f>+Expenses!R23</f>
        <v>0</v>
      </c>
      <c r="S34" s="445">
        <f>+Expenses!S23</f>
        <v>0</v>
      </c>
      <c r="T34" s="445">
        <f>+Expenses!T23</f>
        <v>0</v>
      </c>
      <c r="U34" s="445">
        <f>+Expenses!U23</f>
        <v>0</v>
      </c>
      <c r="V34" s="445">
        <f>+Expenses!V23</f>
        <v>0</v>
      </c>
      <c r="W34" s="445">
        <f>+Expenses!W23</f>
        <v>0</v>
      </c>
      <c r="X34" s="445">
        <f>+Expenses!X23</f>
        <v>0</v>
      </c>
      <c r="Y34" s="445">
        <f>+Expenses!Y23</f>
        <v>0</v>
      </c>
      <c r="Z34" s="445">
        <f>+Expenses!Z23</f>
        <v>0</v>
      </c>
      <c r="AA34" s="445">
        <f>+Expenses!AA23</f>
        <v>0</v>
      </c>
      <c r="AB34" s="445">
        <f>+Expenses!AB23</f>
        <v>0</v>
      </c>
      <c r="AC34" s="646">
        <f>+Expenses!AC23</f>
        <v>0</v>
      </c>
      <c r="AD34" s="509">
        <f>SUM(R34:AC34)</f>
        <v>0</v>
      </c>
    </row>
    <row r="35" spans="1:30" ht="18" customHeight="1">
      <c r="A35" s="48" t="str">
        <f>+Expenses!A25</f>
        <v>Facilities</v>
      </c>
      <c r="B35" s="110"/>
      <c r="C35" s="645">
        <f>+Expenses!C34</f>
        <v>0</v>
      </c>
      <c r="D35" s="445">
        <f>+Expenses!D34</f>
        <v>0</v>
      </c>
      <c r="E35" s="445">
        <f>+Expenses!E34</f>
        <v>0</v>
      </c>
      <c r="F35" s="445">
        <f>+Expenses!F34</f>
        <v>0</v>
      </c>
      <c r="G35" s="445">
        <f>+Expenses!G34</f>
        <v>0</v>
      </c>
      <c r="H35" s="445">
        <f>+Expenses!H34</f>
        <v>0</v>
      </c>
      <c r="I35" s="445">
        <f>+Expenses!I34</f>
        <v>0</v>
      </c>
      <c r="J35" s="445">
        <f>+Expenses!J34</f>
        <v>0</v>
      </c>
      <c r="K35" s="445">
        <f>+Expenses!K34</f>
        <v>0</v>
      </c>
      <c r="L35" s="445">
        <f>+Expenses!L34</f>
        <v>0</v>
      </c>
      <c r="M35" s="445">
        <f>+Expenses!M34</f>
        <v>0</v>
      </c>
      <c r="N35" s="646">
        <f>+Expenses!N34</f>
        <v>0</v>
      </c>
      <c r="O35" s="509">
        <f>SUM(C35:N35)</f>
        <v>0</v>
      </c>
      <c r="P35" s="48" t="str">
        <f t="shared" si="12"/>
        <v>Facilities</v>
      </c>
      <c r="Q35" s="110"/>
      <c r="R35" s="645">
        <f>+Expenses!R34</f>
        <v>0</v>
      </c>
      <c r="S35" s="445">
        <f>+Expenses!S34</f>
        <v>0</v>
      </c>
      <c r="T35" s="445">
        <f>+Expenses!T34</f>
        <v>0</v>
      </c>
      <c r="U35" s="445">
        <f>+Expenses!U34</f>
        <v>0</v>
      </c>
      <c r="V35" s="445">
        <f>+Expenses!V34</f>
        <v>0</v>
      </c>
      <c r="W35" s="445">
        <f>+Expenses!W34</f>
        <v>0</v>
      </c>
      <c r="X35" s="445">
        <f>+Expenses!X34</f>
        <v>0</v>
      </c>
      <c r="Y35" s="445">
        <f>+Expenses!Y34</f>
        <v>0</v>
      </c>
      <c r="Z35" s="445">
        <f>+Expenses!Z34</f>
        <v>0</v>
      </c>
      <c r="AA35" s="445">
        <f>+Expenses!AA34</f>
        <v>0</v>
      </c>
      <c r="AB35" s="445">
        <f>+Expenses!AB34</f>
        <v>0</v>
      </c>
      <c r="AC35" s="646">
        <f>+Expenses!AC34</f>
        <v>0</v>
      </c>
      <c r="AD35" s="509">
        <f>SUM(R35:AC35)</f>
        <v>0</v>
      </c>
    </row>
    <row r="36" spans="1:30" ht="18" customHeight="1">
      <c r="A36" s="277" t="str">
        <f>+Expenses!A36</f>
        <v>Administrative</v>
      </c>
      <c r="B36" s="39"/>
      <c r="C36" s="469">
        <f>+Expenses!C47</f>
        <v>0</v>
      </c>
      <c r="D36" s="470">
        <f>+Expenses!D47</f>
        <v>0</v>
      </c>
      <c r="E36" s="470">
        <f>+Expenses!E47</f>
        <v>0</v>
      </c>
      <c r="F36" s="470">
        <f>+Expenses!F47</f>
        <v>0</v>
      </c>
      <c r="G36" s="470">
        <f>+Expenses!G47</f>
        <v>0</v>
      </c>
      <c r="H36" s="470">
        <f>+Expenses!H47</f>
        <v>0</v>
      </c>
      <c r="I36" s="470">
        <f>+Expenses!I47</f>
        <v>0</v>
      </c>
      <c r="J36" s="470">
        <f>+Expenses!J47</f>
        <v>0</v>
      </c>
      <c r="K36" s="470">
        <f>+Expenses!K47</f>
        <v>0</v>
      </c>
      <c r="L36" s="470">
        <f>+Expenses!L47</f>
        <v>0</v>
      </c>
      <c r="M36" s="470">
        <f>+Expenses!M47</f>
        <v>0</v>
      </c>
      <c r="N36" s="471">
        <f>+Expenses!N47</f>
        <v>0</v>
      </c>
      <c r="O36" s="509">
        <f>SUM(C36:N36)</f>
        <v>0</v>
      </c>
      <c r="P36" s="277" t="str">
        <f t="shared" si="12"/>
        <v>Administrative</v>
      </c>
      <c r="Q36" s="39"/>
      <c r="R36" s="469">
        <f>+Expenses!R47</f>
        <v>0</v>
      </c>
      <c r="S36" s="470">
        <f>+Expenses!S47</f>
        <v>0</v>
      </c>
      <c r="T36" s="470">
        <f>+Expenses!T47</f>
        <v>0</v>
      </c>
      <c r="U36" s="470">
        <f>+Expenses!U47</f>
        <v>0</v>
      </c>
      <c r="V36" s="470">
        <f>+Expenses!V47</f>
        <v>0</v>
      </c>
      <c r="W36" s="470">
        <f>+Expenses!W47</f>
        <v>0</v>
      </c>
      <c r="X36" s="470">
        <f>+Expenses!X47</f>
        <v>0</v>
      </c>
      <c r="Y36" s="470">
        <f>+Expenses!Y47</f>
        <v>0</v>
      </c>
      <c r="Z36" s="470">
        <f>+Expenses!Z47</f>
        <v>0</v>
      </c>
      <c r="AA36" s="470">
        <f>+Expenses!AA47</f>
        <v>0</v>
      </c>
      <c r="AB36" s="470">
        <f>+Expenses!AB47</f>
        <v>0</v>
      </c>
      <c r="AC36" s="471">
        <f>+Expenses!AC47</f>
        <v>0</v>
      </c>
      <c r="AD36" s="509">
        <f>SUM(R36:AC36)</f>
        <v>0</v>
      </c>
    </row>
    <row r="37" spans="1:30" ht="18" customHeight="1">
      <c r="A37" s="30" t="s">
        <v>13</v>
      </c>
      <c r="B37" s="110"/>
      <c r="C37" s="212">
        <f aca="true" t="shared" si="13" ref="C37:O37">SUM(C33:C36)</f>
        <v>0</v>
      </c>
      <c r="D37" s="212">
        <f t="shared" si="13"/>
        <v>0</v>
      </c>
      <c r="E37" s="212">
        <f t="shared" si="13"/>
        <v>0</v>
      </c>
      <c r="F37" s="212">
        <f t="shared" si="13"/>
        <v>0</v>
      </c>
      <c r="G37" s="212">
        <f t="shared" si="13"/>
        <v>0</v>
      </c>
      <c r="H37" s="212">
        <f t="shared" si="13"/>
        <v>0</v>
      </c>
      <c r="I37" s="212">
        <f t="shared" si="13"/>
        <v>0</v>
      </c>
      <c r="J37" s="212">
        <f t="shared" si="13"/>
        <v>0</v>
      </c>
      <c r="K37" s="212">
        <f t="shared" si="13"/>
        <v>0</v>
      </c>
      <c r="L37" s="212">
        <f t="shared" si="13"/>
        <v>0</v>
      </c>
      <c r="M37" s="212">
        <f t="shared" si="13"/>
        <v>0</v>
      </c>
      <c r="N37" s="212">
        <f t="shared" si="13"/>
        <v>0</v>
      </c>
      <c r="O37" s="444">
        <f t="shared" si="13"/>
        <v>0</v>
      </c>
      <c r="P37" s="48" t="str">
        <f t="shared" si="12"/>
        <v>Total Expenses</v>
      </c>
      <c r="Q37" s="110"/>
      <c r="R37" s="236">
        <f aca="true" t="shared" si="14" ref="R37:AD37">SUM(R33:R36)</f>
        <v>0</v>
      </c>
      <c r="S37" s="213">
        <f t="shared" si="14"/>
        <v>0</v>
      </c>
      <c r="T37" s="213">
        <f t="shared" si="14"/>
        <v>0</v>
      </c>
      <c r="U37" s="213">
        <f t="shared" si="14"/>
        <v>0</v>
      </c>
      <c r="V37" s="213">
        <f t="shared" si="14"/>
        <v>0</v>
      </c>
      <c r="W37" s="213">
        <f t="shared" si="14"/>
        <v>0</v>
      </c>
      <c r="X37" s="213">
        <f t="shared" si="14"/>
        <v>0</v>
      </c>
      <c r="Y37" s="213">
        <f t="shared" si="14"/>
        <v>0</v>
      </c>
      <c r="Z37" s="213">
        <f t="shared" si="14"/>
        <v>0</v>
      </c>
      <c r="AA37" s="213">
        <f t="shared" si="14"/>
        <v>0</v>
      </c>
      <c r="AB37" s="213">
        <f t="shared" si="14"/>
        <v>0</v>
      </c>
      <c r="AC37" s="217">
        <f t="shared" si="14"/>
        <v>0</v>
      </c>
      <c r="AD37" s="444">
        <f t="shared" si="14"/>
        <v>0</v>
      </c>
    </row>
    <row r="38" spans="1:30" ht="18">
      <c r="A38" s="13"/>
      <c r="B38" s="13"/>
      <c r="C38" s="202"/>
      <c r="D38" s="202"/>
      <c r="E38" s="202"/>
      <c r="F38" s="202"/>
      <c r="G38" s="202"/>
      <c r="H38" s="202"/>
      <c r="I38" s="202"/>
      <c r="J38" s="202"/>
      <c r="K38" s="202"/>
      <c r="L38" s="202"/>
      <c r="M38" s="202"/>
      <c r="N38" s="202"/>
      <c r="O38" s="202"/>
      <c r="P38" s="48">
        <f t="shared" si="12"/>
      </c>
      <c r="Q38" s="13"/>
      <c r="R38" s="202"/>
      <c r="S38" s="202"/>
      <c r="T38" s="202"/>
      <c r="U38" s="202"/>
      <c r="V38" s="202"/>
      <c r="W38" s="202"/>
      <c r="X38" s="202"/>
      <c r="Y38" s="202"/>
      <c r="Z38" s="202"/>
      <c r="AA38" s="202"/>
      <c r="AB38" s="202"/>
      <c r="AC38" s="202"/>
      <c r="AD38" s="202"/>
    </row>
    <row r="39" spans="1:30" ht="18">
      <c r="A39" t="s">
        <v>116</v>
      </c>
      <c r="B39" s="13"/>
      <c r="C39" s="236">
        <f aca="true" t="shared" si="15" ref="C39:N39">+C29-C37</f>
        <v>0</v>
      </c>
      <c r="D39" s="213">
        <f t="shared" si="15"/>
        <v>0</v>
      </c>
      <c r="E39" s="213">
        <f t="shared" si="15"/>
        <v>0</v>
      </c>
      <c r="F39" s="213">
        <f t="shared" si="15"/>
        <v>0</v>
      </c>
      <c r="G39" s="213">
        <f t="shared" si="15"/>
        <v>0</v>
      </c>
      <c r="H39" s="213">
        <f t="shared" si="15"/>
        <v>0</v>
      </c>
      <c r="I39" s="213">
        <f t="shared" si="15"/>
        <v>0</v>
      </c>
      <c r="J39" s="213">
        <f t="shared" si="15"/>
        <v>0</v>
      </c>
      <c r="K39" s="213">
        <f t="shared" si="15"/>
        <v>0</v>
      </c>
      <c r="L39" s="213">
        <f t="shared" si="15"/>
        <v>0</v>
      </c>
      <c r="M39" s="213">
        <f t="shared" si="15"/>
        <v>0</v>
      </c>
      <c r="N39" s="217">
        <f t="shared" si="15"/>
        <v>0</v>
      </c>
      <c r="O39" s="235">
        <f>SUM(C39:N39)</f>
        <v>0</v>
      </c>
      <c r="P39" s="48" t="str">
        <f t="shared" si="12"/>
        <v>Operating Income</v>
      </c>
      <c r="Q39" s="13"/>
      <c r="R39" s="236">
        <f aca="true" t="shared" si="16" ref="R39:AC39">+R29-R37</f>
        <v>0</v>
      </c>
      <c r="S39" s="213">
        <f t="shared" si="16"/>
        <v>0</v>
      </c>
      <c r="T39" s="213">
        <f t="shared" si="16"/>
        <v>0</v>
      </c>
      <c r="U39" s="213">
        <f t="shared" si="16"/>
        <v>0</v>
      </c>
      <c r="V39" s="213">
        <f t="shared" si="16"/>
        <v>0</v>
      </c>
      <c r="W39" s="213">
        <f t="shared" si="16"/>
        <v>0</v>
      </c>
      <c r="X39" s="213">
        <f t="shared" si="16"/>
        <v>0</v>
      </c>
      <c r="Y39" s="213">
        <f t="shared" si="16"/>
        <v>0</v>
      </c>
      <c r="Z39" s="213">
        <f t="shared" si="16"/>
        <v>0</v>
      </c>
      <c r="AA39" s="213">
        <f t="shared" si="16"/>
        <v>0</v>
      </c>
      <c r="AB39" s="213">
        <f t="shared" si="16"/>
        <v>0</v>
      </c>
      <c r="AC39" s="217">
        <f t="shared" si="16"/>
        <v>0</v>
      </c>
      <c r="AD39" s="235">
        <f>SUM(R39:AC39)</f>
        <v>0</v>
      </c>
    </row>
    <row r="40" spans="2:30" ht="18">
      <c r="B40" s="13"/>
      <c r="C40" s="235"/>
      <c r="D40" s="235"/>
      <c r="E40" s="235"/>
      <c r="F40" s="235"/>
      <c r="G40" s="235"/>
      <c r="H40" s="235"/>
      <c r="I40" s="235"/>
      <c r="J40" s="235"/>
      <c r="K40" s="235"/>
      <c r="L40" s="235"/>
      <c r="M40" s="235"/>
      <c r="N40" s="235"/>
      <c r="O40" s="235"/>
      <c r="P40" s="48">
        <f t="shared" si="12"/>
      </c>
      <c r="Q40" s="13"/>
      <c r="R40" s="235"/>
      <c r="S40" s="235"/>
      <c r="T40" s="235"/>
      <c r="U40" s="235"/>
      <c r="V40" s="235"/>
      <c r="W40" s="235"/>
      <c r="X40" s="235"/>
      <c r="Y40" s="235"/>
      <c r="Z40" s="235"/>
      <c r="AA40" s="235"/>
      <c r="AB40" s="235"/>
      <c r="AC40" s="235"/>
      <c r="AD40" s="235"/>
    </row>
    <row r="41" spans="1:30" ht="18">
      <c r="A41" t="s">
        <v>159</v>
      </c>
      <c r="B41" s="13"/>
      <c r="C41" s="242">
        <f aca="true" t="shared" si="17" ref="C41:O41">IF(C39&lt;1,0,C39/C16)</f>
        <v>0</v>
      </c>
      <c r="D41" s="242">
        <f t="shared" si="17"/>
        <v>0</v>
      </c>
      <c r="E41" s="242">
        <f t="shared" si="17"/>
        <v>0</v>
      </c>
      <c r="F41" s="242">
        <f t="shared" si="17"/>
        <v>0</v>
      </c>
      <c r="G41" s="242">
        <f t="shared" si="17"/>
        <v>0</v>
      </c>
      <c r="H41" s="242">
        <f t="shared" si="17"/>
        <v>0</v>
      </c>
      <c r="I41" s="242">
        <f t="shared" si="17"/>
        <v>0</v>
      </c>
      <c r="J41" s="242">
        <f t="shared" si="17"/>
        <v>0</v>
      </c>
      <c r="K41" s="242">
        <f t="shared" si="17"/>
        <v>0</v>
      </c>
      <c r="L41" s="242">
        <f t="shared" si="17"/>
        <v>0</v>
      </c>
      <c r="M41" s="242">
        <f t="shared" si="17"/>
        <v>0</v>
      </c>
      <c r="N41" s="242">
        <f t="shared" si="17"/>
        <v>0</v>
      </c>
      <c r="O41" s="242">
        <f t="shared" si="17"/>
        <v>0</v>
      </c>
      <c r="P41" s="48" t="str">
        <f t="shared" si="12"/>
        <v>Net Margin </v>
      </c>
      <c r="Q41" s="13"/>
      <c r="R41" s="242">
        <f aca="true" t="shared" si="18" ref="R41:AD41">IF(R39&lt;1,0,R39/R16)</f>
        <v>0</v>
      </c>
      <c r="S41" s="242">
        <f t="shared" si="18"/>
        <v>0</v>
      </c>
      <c r="T41" s="242">
        <f t="shared" si="18"/>
        <v>0</v>
      </c>
      <c r="U41" s="242">
        <f t="shared" si="18"/>
        <v>0</v>
      </c>
      <c r="V41" s="242">
        <f t="shared" si="18"/>
        <v>0</v>
      </c>
      <c r="W41" s="242">
        <f t="shared" si="18"/>
        <v>0</v>
      </c>
      <c r="X41" s="242">
        <f t="shared" si="18"/>
        <v>0</v>
      </c>
      <c r="Y41" s="242">
        <f t="shared" si="18"/>
        <v>0</v>
      </c>
      <c r="Z41" s="242">
        <f t="shared" si="18"/>
        <v>0</v>
      </c>
      <c r="AA41" s="242">
        <f t="shared" si="18"/>
        <v>0</v>
      </c>
      <c r="AB41" s="242">
        <f t="shared" si="18"/>
        <v>0</v>
      </c>
      <c r="AC41" s="242">
        <f t="shared" si="18"/>
        <v>0</v>
      </c>
      <c r="AD41" s="242">
        <f t="shared" si="18"/>
        <v>0</v>
      </c>
    </row>
    <row r="42" spans="2:30" ht="18">
      <c r="B42" s="13"/>
      <c r="C42" s="202"/>
      <c r="D42" s="202"/>
      <c r="E42" s="202"/>
      <c r="F42" s="202"/>
      <c r="G42" s="202"/>
      <c r="H42" s="202"/>
      <c r="I42" s="202"/>
      <c r="J42" s="202"/>
      <c r="K42" s="202"/>
      <c r="L42" s="202"/>
      <c r="M42" s="202"/>
      <c r="N42" s="202"/>
      <c r="O42" s="202"/>
      <c r="P42" s="48">
        <f t="shared" si="12"/>
      </c>
      <c r="Q42" s="13"/>
      <c r="R42" s="202"/>
      <c r="S42" s="202"/>
      <c r="T42" s="202"/>
      <c r="U42" s="202"/>
      <c r="V42" s="202"/>
      <c r="W42" s="202"/>
      <c r="X42" s="202"/>
      <c r="Y42" s="202"/>
      <c r="Z42" s="202"/>
      <c r="AA42" s="202"/>
      <c r="AB42" s="202"/>
      <c r="AC42" s="202"/>
      <c r="AD42" s="202"/>
    </row>
    <row r="43" spans="1:30" ht="20.25" customHeight="1">
      <c r="A43" s="18" t="s">
        <v>16</v>
      </c>
      <c r="B43" s="191"/>
      <c r="C43" s="204">
        <f>+C257+C273+C296</f>
        <v>0</v>
      </c>
      <c r="D43" s="204">
        <f aca="true" t="shared" si="19" ref="D43:N43">+D257+D273+D296</f>
        <v>0</v>
      </c>
      <c r="E43" s="204">
        <f t="shared" si="19"/>
        <v>0</v>
      </c>
      <c r="F43" s="204">
        <f t="shared" si="19"/>
        <v>0</v>
      </c>
      <c r="G43" s="204">
        <f t="shared" si="19"/>
        <v>0</v>
      </c>
      <c r="H43" s="204">
        <f t="shared" si="19"/>
        <v>0</v>
      </c>
      <c r="I43" s="204">
        <f t="shared" si="19"/>
        <v>0</v>
      </c>
      <c r="J43" s="204">
        <f t="shared" si="19"/>
        <v>0</v>
      </c>
      <c r="K43" s="204">
        <f t="shared" si="19"/>
        <v>0</v>
      </c>
      <c r="L43" s="204">
        <f t="shared" si="19"/>
        <v>0</v>
      </c>
      <c r="M43" s="204">
        <f t="shared" si="19"/>
        <v>0</v>
      </c>
      <c r="N43" s="204">
        <f t="shared" si="19"/>
        <v>0</v>
      </c>
      <c r="O43" s="235">
        <f>SUM(C43:N43)</f>
        <v>0</v>
      </c>
      <c r="P43" s="48" t="str">
        <f t="shared" si="12"/>
        <v>Interest Expense</v>
      </c>
      <c r="Q43" s="191"/>
      <c r="R43" s="204">
        <f>+R257+R273+R296</f>
        <v>0</v>
      </c>
      <c r="S43" s="204">
        <f aca="true" t="shared" si="20" ref="S43:AC43">+S257+S273+S296</f>
        <v>0</v>
      </c>
      <c r="T43" s="204">
        <f t="shared" si="20"/>
        <v>0</v>
      </c>
      <c r="U43" s="204">
        <f t="shared" si="20"/>
        <v>0</v>
      </c>
      <c r="V43" s="204">
        <f t="shared" si="20"/>
        <v>0</v>
      </c>
      <c r="W43" s="204">
        <f t="shared" si="20"/>
        <v>0</v>
      </c>
      <c r="X43" s="204">
        <f t="shared" si="20"/>
        <v>0</v>
      </c>
      <c r="Y43" s="204">
        <f t="shared" si="20"/>
        <v>0</v>
      </c>
      <c r="Z43" s="204">
        <f t="shared" si="20"/>
        <v>0</v>
      </c>
      <c r="AA43" s="204">
        <f t="shared" si="20"/>
        <v>0</v>
      </c>
      <c r="AB43" s="204">
        <f t="shared" si="20"/>
        <v>0</v>
      </c>
      <c r="AC43" s="204">
        <f t="shared" si="20"/>
        <v>0</v>
      </c>
      <c r="AD43" s="235">
        <f>SUM(R43:AC43)</f>
        <v>0</v>
      </c>
    </row>
    <row r="44" spans="1:30" ht="18">
      <c r="A44" t="s">
        <v>17</v>
      </c>
      <c r="B44" s="605">
        <v>0.02</v>
      </c>
      <c r="C44" s="204">
        <v>0</v>
      </c>
      <c r="D44" s="204">
        <f aca="true" t="shared" si="21" ref="D44:N44">IF(C59&lt;1,0,($B44/12)*C59)</f>
        <v>0</v>
      </c>
      <c r="E44" s="204">
        <f t="shared" si="21"/>
        <v>0</v>
      </c>
      <c r="F44" s="204">
        <f t="shared" si="21"/>
        <v>0</v>
      </c>
      <c r="G44" s="204">
        <f t="shared" si="21"/>
        <v>0</v>
      </c>
      <c r="H44" s="204">
        <f t="shared" si="21"/>
        <v>0</v>
      </c>
      <c r="I44" s="204">
        <f t="shared" si="21"/>
        <v>0</v>
      </c>
      <c r="J44" s="204">
        <f t="shared" si="21"/>
        <v>0</v>
      </c>
      <c r="K44" s="204">
        <f t="shared" si="21"/>
        <v>0</v>
      </c>
      <c r="L44" s="204">
        <f t="shared" si="21"/>
        <v>0</v>
      </c>
      <c r="M44" s="204">
        <f t="shared" si="21"/>
        <v>0</v>
      </c>
      <c r="N44" s="204">
        <f t="shared" si="21"/>
        <v>0</v>
      </c>
      <c r="O44" s="235">
        <f>SUM(C44:N44)</f>
        <v>0</v>
      </c>
      <c r="P44" s="48" t="str">
        <f t="shared" si="12"/>
        <v>Interest Income</v>
      </c>
      <c r="Q44" s="606">
        <f>+B44</f>
        <v>0.02</v>
      </c>
      <c r="R44" s="204">
        <f aca="true" t="shared" si="22" ref="R44:AC44">IF(Q59&lt;1,0,($B44/12)*Q59)</f>
        <v>0</v>
      </c>
      <c r="S44" s="204">
        <f t="shared" si="22"/>
        <v>0</v>
      </c>
      <c r="T44" s="204">
        <f t="shared" si="22"/>
        <v>0</v>
      </c>
      <c r="U44" s="204">
        <f t="shared" si="22"/>
        <v>0</v>
      </c>
      <c r="V44" s="204">
        <f t="shared" si="22"/>
        <v>0</v>
      </c>
      <c r="W44" s="204">
        <f t="shared" si="22"/>
        <v>0</v>
      </c>
      <c r="X44" s="204">
        <f t="shared" si="22"/>
        <v>0</v>
      </c>
      <c r="Y44" s="204">
        <f t="shared" si="22"/>
        <v>0</v>
      </c>
      <c r="Z44" s="204">
        <f t="shared" si="22"/>
        <v>0</v>
      </c>
      <c r="AA44" s="204">
        <f t="shared" si="22"/>
        <v>0</v>
      </c>
      <c r="AB44" s="204">
        <f t="shared" si="22"/>
        <v>0</v>
      </c>
      <c r="AC44" s="204">
        <f t="shared" si="22"/>
        <v>0</v>
      </c>
      <c r="AD44" s="235">
        <f>SUM(R44:AC44)</f>
        <v>0</v>
      </c>
    </row>
    <row r="45" spans="1:30" ht="18">
      <c r="A45" t="s">
        <v>403</v>
      </c>
      <c r="C45" s="205">
        <f>+Equipment!C49</f>
        <v>0</v>
      </c>
      <c r="D45" s="205">
        <f>+Equipment!D49</f>
        <v>0</v>
      </c>
      <c r="E45" s="205">
        <f>+Equipment!E49</f>
        <v>0</v>
      </c>
      <c r="F45" s="205">
        <f>+Equipment!F49</f>
        <v>0</v>
      </c>
      <c r="G45" s="205">
        <f>+Equipment!G49</f>
        <v>0</v>
      </c>
      <c r="H45" s="205">
        <f>+Equipment!H49</f>
        <v>0</v>
      </c>
      <c r="I45" s="205">
        <f>+Equipment!I49</f>
        <v>0</v>
      </c>
      <c r="J45" s="205">
        <f>+Equipment!J49</f>
        <v>0</v>
      </c>
      <c r="K45" s="205">
        <f>+Equipment!K49</f>
        <v>0</v>
      </c>
      <c r="L45" s="205">
        <f>+Equipment!L49</f>
        <v>0</v>
      </c>
      <c r="M45" s="205">
        <f>+Equipment!M49</f>
        <v>0</v>
      </c>
      <c r="N45" s="205">
        <f>+Equipment!N49</f>
        <v>0</v>
      </c>
      <c r="O45" s="205">
        <f>SUM(C45:N45)</f>
        <v>0</v>
      </c>
      <c r="P45" s="48" t="str">
        <f t="shared" si="12"/>
        <v>Depreciation/Amort</v>
      </c>
      <c r="R45" s="205">
        <f>+Equipment!R49</f>
        <v>0</v>
      </c>
      <c r="S45" s="205">
        <f>+Equipment!S49</f>
        <v>0</v>
      </c>
      <c r="T45" s="205">
        <f>+Equipment!T49</f>
        <v>0</v>
      </c>
      <c r="U45" s="205">
        <f>+Equipment!U49</f>
        <v>0</v>
      </c>
      <c r="V45" s="205">
        <f>+Equipment!V49</f>
        <v>0</v>
      </c>
      <c r="W45" s="205">
        <f>+Equipment!W49</f>
        <v>0</v>
      </c>
      <c r="X45" s="205">
        <f>+Equipment!X49</f>
        <v>0</v>
      </c>
      <c r="Y45" s="205">
        <f>+Equipment!Y49</f>
        <v>0</v>
      </c>
      <c r="Z45" s="205">
        <f>+Equipment!Z49</f>
        <v>0</v>
      </c>
      <c r="AA45" s="205">
        <f>+Equipment!AA49</f>
        <v>0</v>
      </c>
      <c r="AB45" s="205">
        <f>+Equipment!AB49</f>
        <v>0</v>
      </c>
      <c r="AC45" s="205">
        <f>+Equipment!AC49</f>
        <v>0</v>
      </c>
      <c r="AD45" s="205">
        <f>SUM(R45:AC45)</f>
        <v>0</v>
      </c>
    </row>
    <row r="46" spans="1:30" ht="18">
      <c r="A46" s="40"/>
      <c r="B46" s="40"/>
      <c r="C46" s="202"/>
      <c r="D46" s="202"/>
      <c r="E46" s="202"/>
      <c r="F46" s="202"/>
      <c r="G46" s="202"/>
      <c r="H46" s="202"/>
      <c r="I46" s="202"/>
      <c r="J46" s="202"/>
      <c r="K46" s="202"/>
      <c r="L46" s="202"/>
      <c r="M46" s="202"/>
      <c r="N46" s="202"/>
      <c r="O46" s="209"/>
      <c r="P46" s="277">
        <f t="shared" si="12"/>
      </c>
      <c r="Q46" s="40"/>
      <c r="R46" s="202"/>
      <c r="S46" s="202"/>
      <c r="T46" s="202"/>
      <c r="U46" s="202"/>
      <c r="V46" s="202"/>
      <c r="W46" s="202"/>
      <c r="X46" s="202"/>
      <c r="Y46" s="202"/>
      <c r="Z46" s="202"/>
      <c r="AA46" s="202"/>
      <c r="AB46" s="202"/>
      <c r="AC46" s="202"/>
      <c r="AD46" s="209"/>
    </row>
    <row r="47" spans="1:30" ht="18.75">
      <c r="A47" s="70" t="s">
        <v>15</v>
      </c>
      <c r="C47" s="236">
        <f aca="true" t="shared" si="23" ref="C47:N47">+C39-C43+C44-C45</f>
        <v>0</v>
      </c>
      <c r="D47" s="213">
        <f t="shared" si="23"/>
        <v>0</v>
      </c>
      <c r="E47" s="213">
        <f t="shared" si="23"/>
        <v>0</v>
      </c>
      <c r="F47" s="213">
        <f t="shared" si="23"/>
        <v>0</v>
      </c>
      <c r="G47" s="213">
        <f t="shared" si="23"/>
        <v>0</v>
      </c>
      <c r="H47" s="213">
        <f t="shared" si="23"/>
        <v>0</v>
      </c>
      <c r="I47" s="213">
        <f t="shared" si="23"/>
        <v>0</v>
      </c>
      <c r="J47" s="213">
        <f t="shared" si="23"/>
        <v>0</v>
      </c>
      <c r="K47" s="213">
        <f t="shared" si="23"/>
        <v>0</v>
      </c>
      <c r="L47" s="213">
        <f t="shared" si="23"/>
        <v>0</v>
      </c>
      <c r="M47" s="213">
        <f t="shared" si="23"/>
        <v>0</v>
      </c>
      <c r="N47" s="217">
        <f t="shared" si="23"/>
        <v>0</v>
      </c>
      <c r="O47" s="205">
        <f>+O39-O43+O44-O45</f>
        <v>0</v>
      </c>
      <c r="P47" s="48" t="str">
        <f t="shared" si="12"/>
        <v>Net Income</v>
      </c>
      <c r="R47" s="236">
        <f aca="true" t="shared" si="24" ref="R47:AC47">+R39-R43+R44-R45</f>
        <v>0</v>
      </c>
      <c r="S47" s="213">
        <f t="shared" si="24"/>
        <v>0</v>
      </c>
      <c r="T47" s="213">
        <f t="shared" si="24"/>
        <v>0</v>
      </c>
      <c r="U47" s="213">
        <f t="shared" si="24"/>
        <v>0</v>
      </c>
      <c r="V47" s="213">
        <f t="shared" si="24"/>
        <v>0</v>
      </c>
      <c r="W47" s="213">
        <f t="shared" si="24"/>
        <v>0</v>
      </c>
      <c r="X47" s="213">
        <f t="shared" si="24"/>
        <v>0</v>
      </c>
      <c r="Y47" s="213">
        <f t="shared" si="24"/>
        <v>0</v>
      </c>
      <c r="Z47" s="213">
        <f t="shared" si="24"/>
        <v>0</v>
      </c>
      <c r="AA47" s="213">
        <f t="shared" si="24"/>
        <v>0</v>
      </c>
      <c r="AB47" s="213">
        <f t="shared" si="24"/>
        <v>0</v>
      </c>
      <c r="AC47" s="217">
        <f t="shared" si="24"/>
        <v>0</v>
      </c>
      <c r="AD47" s="205">
        <f>+AD39-AD43+AD44-AD45</f>
        <v>0</v>
      </c>
    </row>
    <row r="48" spans="1:30" ht="18">
      <c r="A48" t="s">
        <v>159</v>
      </c>
      <c r="C48" s="237">
        <f aca="true" t="shared" si="25" ref="C48:N48">IF(C16&gt;0,IF(C47&lt;1,0,C47/C16),0)</f>
        <v>0</v>
      </c>
      <c r="D48" s="237">
        <f t="shared" si="25"/>
        <v>0</v>
      </c>
      <c r="E48" s="237">
        <f t="shared" si="25"/>
        <v>0</v>
      </c>
      <c r="F48" s="237">
        <f t="shared" si="25"/>
        <v>0</v>
      </c>
      <c r="G48" s="237">
        <f t="shared" si="25"/>
        <v>0</v>
      </c>
      <c r="H48" s="237">
        <f t="shared" si="25"/>
        <v>0</v>
      </c>
      <c r="I48" s="237">
        <f t="shared" si="25"/>
        <v>0</v>
      </c>
      <c r="J48" s="237">
        <f t="shared" si="25"/>
        <v>0</v>
      </c>
      <c r="K48" s="237">
        <f t="shared" si="25"/>
        <v>0</v>
      </c>
      <c r="L48" s="237">
        <f t="shared" si="25"/>
        <v>0</v>
      </c>
      <c r="M48" s="237">
        <f t="shared" si="25"/>
        <v>0</v>
      </c>
      <c r="N48" s="237">
        <f t="shared" si="25"/>
        <v>0</v>
      </c>
      <c r="O48" s="203"/>
      <c r="P48" s="48" t="str">
        <f t="shared" si="12"/>
        <v>Net Margin </v>
      </c>
      <c r="R48" s="237">
        <f aca="true" t="shared" si="26" ref="R48:AC48">IF(R16&gt;0,IF(R47&lt;1,0,R47/R16),0)</f>
        <v>0</v>
      </c>
      <c r="S48" s="237">
        <f t="shared" si="26"/>
        <v>0</v>
      </c>
      <c r="T48" s="237">
        <f t="shared" si="26"/>
        <v>0</v>
      </c>
      <c r="U48" s="237">
        <f t="shared" si="26"/>
        <v>0</v>
      </c>
      <c r="V48" s="237">
        <f t="shared" si="26"/>
        <v>0</v>
      </c>
      <c r="W48" s="237">
        <f t="shared" si="26"/>
        <v>0</v>
      </c>
      <c r="X48" s="237">
        <f t="shared" si="26"/>
        <v>0</v>
      </c>
      <c r="Y48" s="237">
        <f t="shared" si="26"/>
        <v>0</v>
      </c>
      <c r="Z48" s="237">
        <f t="shared" si="26"/>
        <v>0</v>
      </c>
      <c r="AA48" s="237">
        <f t="shared" si="26"/>
        <v>0</v>
      </c>
      <c r="AB48" s="237">
        <f t="shared" si="26"/>
        <v>0</v>
      </c>
      <c r="AC48" s="237">
        <f t="shared" si="26"/>
        <v>0</v>
      </c>
      <c r="AD48" s="203"/>
    </row>
    <row r="49" spans="3:30" ht="18">
      <c r="C49" s="237"/>
      <c r="D49" s="237"/>
      <c r="E49" s="237"/>
      <c r="F49" s="237"/>
      <c r="G49" s="237"/>
      <c r="H49" s="237"/>
      <c r="I49" s="237"/>
      <c r="J49" s="237"/>
      <c r="K49" s="237"/>
      <c r="L49" s="237"/>
      <c r="M49" s="237"/>
      <c r="N49" s="237"/>
      <c r="O49" s="203"/>
      <c r="R49" s="237"/>
      <c r="S49" s="237"/>
      <c r="T49" s="237"/>
      <c r="U49" s="237"/>
      <c r="V49" s="237"/>
      <c r="W49" s="237"/>
      <c r="X49" s="237"/>
      <c r="Y49" s="237"/>
      <c r="Z49" s="237"/>
      <c r="AA49" s="237"/>
      <c r="AB49" s="237"/>
      <c r="AC49" s="237"/>
      <c r="AD49" s="203"/>
    </row>
    <row r="50" spans="1:30" ht="18">
      <c r="A50" s="24" t="str">
        <f>++A1</f>
        <v>MyCo</v>
      </c>
      <c r="B50" s="19"/>
      <c r="C50" s="198"/>
      <c r="D50" s="198"/>
      <c r="E50" s="198"/>
      <c r="F50" s="198"/>
      <c r="G50" s="198"/>
      <c r="H50" s="198"/>
      <c r="I50" s="198"/>
      <c r="J50" s="198"/>
      <c r="K50" s="198"/>
      <c r="L50" s="198"/>
      <c r="M50" s="198"/>
      <c r="N50" s="198"/>
      <c r="O50" s="64" t="str">
        <f>+O1</f>
        <v>Draft 1.0</v>
      </c>
      <c r="P50" s="24" t="str">
        <f>+P1</f>
        <v>MyCo</v>
      </c>
      <c r="Q50" s="19"/>
      <c r="R50" s="19"/>
      <c r="S50" s="19"/>
      <c r="T50" s="19"/>
      <c r="U50" s="19"/>
      <c r="V50" s="19"/>
      <c r="W50" s="19"/>
      <c r="X50" s="19"/>
      <c r="Y50" s="19"/>
      <c r="Z50" s="19"/>
      <c r="AA50" s="19"/>
      <c r="AB50" s="19"/>
      <c r="AC50" s="19"/>
      <c r="AD50" s="64" t="str">
        <f>+AD$1</f>
        <v>Draft 1.0</v>
      </c>
    </row>
    <row r="51" spans="1:30" ht="23.25">
      <c r="A51" s="20" t="s">
        <v>18</v>
      </c>
      <c r="B51" s="19"/>
      <c r="C51" s="19"/>
      <c r="D51" s="19"/>
      <c r="E51" s="19"/>
      <c r="F51" s="19"/>
      <c r="G51" s="19"/>
      <c r="H51" s="19"/>
      <c r="I51" s="19"/>
      <c r="J51" s="19"/>
      <c r="K51" s="198"/>
      <c r="L51" s="19"/>
      <c r="M51" s="19"/>
      <c r="N51" s="269"/>
      <c r="O51" s="19"/>
      <c r="P51" s="20" t="s">
        <v>18</v>
      </c>
      <c r="Q51" s="19"/>
      <c r="R51" s="19"/>
      <c r="S51" s="19"/>
      <c r="T51" s="19"/>
      <c r="U51" s="19"/>
      <c r="V51" s="19"/>
      <c r="W51" s="19"/>
      <c r="X51" s="19"/>
      <c r="Y51" s="19"/>
      <c r="Z51" s="198"/>
      <c r="AA51" s="19"/>
      <c r="AB51" s="19"/>
      <c r="AC51" s="25"/>
      <c r="AD51" s="19"/>
    </row>
    <row r="52" spans="1:29" ht="18">
      <c r="A52" s="21">
        <f>+$A$3</f>
        <v>2022</v>
      </c>
      <c r="B52" s="18"/>
      <c r="C52" s="302"/>
      <c r="D52" s="302"/>
      <c r="E52" s="302"/>
      <c r="F52" s="302"/>
      <c r="G52" s="302"/>
      <c r="H52" s="302"/>
      <c r="I52" s="302"/>
      <c r="J52" s="302"/>
      <c r="K52" s="302"/>
      <c r="L52" s="302"/>
      <c r="M52" s="302"/>
      <c r="N52" s="302"/>
      <c r="P52" s="21">
        <f>+P$3</f>
        <v>2023</v>
      </c>
      <c r="Q52" s="18"/>
      <c r="R52" s="18"/>
      <c r="S52" s="18"/>
      <c r="T52" s="18"/>
      <c r="U52" s="18"/>
      <c r="V52" s="18"/>
      <c r="W52" s="18"/>
      <c r="X52" s="18"/>
      <c r="Y52" s="18"/>
      <c r="Z52" s="18"/>
      <c r="AA52" s="18"/>
      <c r="AB52" s="18"/>
      <c r="AC52" s="244"/>
    </row>
    <row r="53" spans="1:29" ht="18">
      <c r="A53" s="58"/>
      <c r="B53" s="18"/>
      <c r="C53" s="18"/>
      <c r="D53" s="18"/>
      <c r="E53" s="18"/>
      <c r="F53" s="18"/>
      <c r="G53" s="18"/>
      <c r="H53" s="18"/>
      <c r="I53" s="18"/>
      <c r="J53" s="18"/>
      <c r="K53" s="18"/>
      <c r="L53" s="18"/>
      <c r="M53" s="18"/>
      <c r="N53" s="244"/>
      <c r="P53" s="268"/>
      <c r="Q53" s="18"/>
      <c r="R53" s="18"/>
      <c r="S53" s="18"/>
      <c r="T53" s="18"/>
      <c r="U53" s="18"/>
      <c r="V53" s="18"/>
      <c r="W53" s="18"/>
      <c r="X53" s="18"/>
      <c r="Y53" s="18"/>
      <c r="Z53" s="18"/>
      <c r="AA53" s="18"/>
      <c r="AB53" s="18"/>
      <c r="AC53" s="244"/>
    </row>
    <row r="54" spans="1:29" ht="18">
      <c r="A54" s="58"/>
      <c r="B54" s="18"/>
      <c r="C54" s="619">
        <f>IF(ISBLANK(Headcount!C$3),"",Headcount!C$3)</f>
      </c>
      <c r="D54" s="619">
        <f>IF(ISBLANK(Headcount!D$3),"",Headcount!D$3)</f>
      </c>
      <c r="E54" s="619">
        <f>IF(ISBLANK(Headcount!E$3),"",Headcount!E$3)</f>
      </c>
      <c r="F54" s="619">
        <f>IF(ISBLANK(Headcount!F$3),"",Headcount!F$3)</f>
      </c>
      <c r="G54" s="619">
        <f>IF(ISBLANK(Headcount!G$3),"",Headcount!G$3)</f>
      </c>
      <c r="H54" s="619">
        <f>IF(ISBLANK(Headcount!H$3),"",Headcount!H$3)</f>
      </c>
      <c r="I54" s="619">
        <f>IF(ISBLANK(Headcount!I$3),"",Headcount!I$3)</f>
      </c>
      <c r="J54" s="619">
        <f>IF(ISBLANK(Headcount!J$3),"",Headcount!J$3)</f>
      </c>
      <c r="K54" s="619">
        <f>IF(ISBLANK(Headcount!K$3),"",Headcount!K$3)</f>
      </c>
      <c r="L54" s="619">
        <f>IF(ISBLANK(Headcount!L$3),"",Headcount!L$3)</f>
      </c>
      <c r="M54" s="619">
        <f>IF(ISBLANK(Headcount!M$3),"",Headcount!M$3)</f>
      </c>
      <c r="N54" s="619">
        <f>IF(ISBLANK(Headcount!N$3),"",Headcount!N$3)</f>
      </c>
      <c r="P54" s="268"/>
      <c r="Q54" s="18"/>
      <c r="R54" s="619">
        <f>IF(ISBLANK(Headcount!R$3),"",Headcount!R$3)</f>
      </c>
      <c r="S54" s="619">
        <f>IF(ISBLANK(Headcount!S$3),"",Headcount!S$3)</f>
      </c>
      <c r="T54" s="619">
        <f>IF(ISBLANK(Headcount!T$3),"",Headcount!T$3)</f>
      </c>
      <c r="U54" s="619">
        <f>IF(ISBLANK(Headcount!U$3),"",Headcount!U$3)</f>
      </c>
      <c r="V54" s="619">
        <f>IF(ISBLANK(Headcount!V$3),"",Headcount!V$3)</f>
      </c>
      <c r="W54" s="619">
        <f>IF(ISBLANK(Headcount!W$3),"",Headcount!W$3)</f>
      </c>
      <c r="X54" s="619">
        <f>IF(ISBLANK(Headcount!X$3),"",Headcount!X$3)</f>
      </c>
      <c r="Y54" s="619">
        <f>IF(ISBLANK(Headcount!Y$3),"",Headcount!Y$3)</f>
      </c>
      <c r="Z54" s="619">
        <f>IF(ISBLANK(Headcount!Z$3),"",Headcount!Z$3)</f>
      </c>
      <c r="AA54" s="619">
        <f>IF(ISBLANK(Headcount!AA$3),"",Headcount!AA$3)</f>
      </c>
      <c r="AB54" s="619">
        <f>IF(ISBLANK(Headcount!AB$3),"",Headcount!AB$3)</f>
      </c>
      <c r="AC54" s="619">
        <f>IF(ISBLANK(Headcount!AC$3),"",Headcount!AC$3)</f>
      </c>
    </row>
    <row r="55" spans="1:29" ht="18">
      <c r="A55" s="18"/>
      <c r="B55" s="155" t="s">
        <v>155</v>
      </c>
      <c r="C55" s="22" t="str">
        <f>IF(ISBLANK(Headcount!C$4),"",Headcount!C$4)</f>
        <v>Month</v>
      </c>
      <c r="D55" s="22" t="str">
        <f>IF(ISBLANK(Headcount!D$4),"",Headcount!D$4)</f>
        <v>Actual</v>
      </c>
      <c r="E55" s="22" t="str">
        <f>IF(ISBLANK(Headcount!E$4),"",Headcount!E$4)</f>
        <v>Actual</v>
      </c>
      <c r="F55" s="22" t="str">
        <f>IF(ISBLANK(Headcount!F$4),"",Headcount!F$4)</f>
        <v>Forecast</v>
      </c>
      <c r="G55" s="22" t="str">
        <f>IF(ISBLANK(Headcount!G$4),"",Headcount!G$4)</f>
        <v>Forecast</v>
      </c>
      <c r="H55" s="22" t="str">
        <f>IF(ISBLANK(Headcount!H$4),"",Headcount!H$4)</f>
        <v>Forecast</v>
      </c>
      <c r="I55" s="22" t="str">
        <f>IF(ISBLANK(Headcount!I$4),"",Headcount!I$4)</f>
        <v>Forecast</v>
      </c>
      <c r="J55" s="22" t="str">
        <f>IF(ISBLANK(Headcount!J$4),"",Headcount!J$4)</f>
        <v>Forecast</v>
      </c>
      <c r="K55" s="22" t="str">
        <f>IF(ISBLANK(Headcount!K$4),"",Headcount!K$4)</f>
        <v>Forecast</v>
      </c>
      <c r="L55" s="22" t="str">
        <f>IF(ISBLANK(Headcount!L$4),"",Headcount!L$4)</f>
        <v>Forecast</v>
      </c>
      <c r="M55" s="22" t="str">
        <f>IF(ISBLANK(Headcount!M$4),"",Headcount!M$4)</f>
        <v>Forecast</v>
      </c>
      <c r="N55" s="22" t="str">
        <f>IF(ISBLANK(Headcount!N$4),"",Headcount!N$4)</f>
        <v>Forecast</v>
      </c>
      <c r="P55" s="18"/>
      <c r="Q55" s="155" t="s">
        <v>160</v>
      </c>
      <c r="R55" s="22" t="str">
        <f>IF(ISBLANK(Headcount!R$4),"",Headcount!R$4)</f>
        <v>Forecast</v>
      </c>
      <c r="S55" s="22" t="str">
        <f>IF(ISBLANK(Headcount!S$4),"",Headcount!S$4)</f>
        <v>Forecast</v>
      </c>
      <c r="T55" s="22" t="str">
        <f>IF(ISBLANK(Headcount!T$4),"",Headcount!T$4)</f>
        <v>Forecast</v>
      </c>
      <c r="U55" s="22" t="str">
        <f>IF(ISBLANK(Headcount!U$4),"",Headcount!U$4)</f>
        <v>Forecast</v>
      </c>
      <c r="V55" s="22" t="str">
        <f>IF(ISBLANK(Headcount!V$4),"",Headcount!V$4)</f>
        <v>Forecast</v>
      </c>
      <c r="W55" s="22" t="str">
        <f>IF(ISBLANK(Headcount!W$4),"",Headcount!W$4)</f>
        <v>Forecast</v>
      </c>
      <c r="X55" s="22" t="str">
        <f>IF(ISBLANK(Headcount!X$4),"",Headcount!X$4)</f>
        <v>Forecast</v>
      </c>
      <c r="Y55" s="22" t="str">
        <f>IF(ISBLANK(Headcount!Y$4),"",Headcount!Y$4)</f>
        <v>Forecast</v>
      </c>
      <c r="Z55" s="22" t="str">
        <f>IF(ISBLANK(Headcount!Z$4),"",Headcount!Z$4)</f>
        <v>Forecast</v>
      </c>
      <c r="AA55" s="22" t="str">
        <f>IF(ISBLANK(Headcount!AA$4),"",Headcount!AA$4)</f>
        <v>Forecast</v>
      </c>
      <c r="AB55" s="22" t="str">
        <f>IF(ISBLANK(Headcount!AB$4),"",Headcount!AB$4)</f>
        <v>Forecast</v>
      </c>
      <c r="AC55" s="22" t="str">
        <f>IF(ISBLANK(Headcount!AC$4),"",Headcount!AC$4)</f>
        <v>Forecast</v>
      </c>
    </row>
    <row r="56" spans="1:29" ht="18.75" thickBot="1">
      <c r="A56" s="26"/>
      <c r="B56" s="157" t="s">
        <v>156</v>
      </c>
      <c r="C56" s="157" t="str">
        <f>+Headcount!C$5</f>
        <v>Jan</v>
      </c>
      <c r="D56" s="157" t="str">
        <f>+Headcount!D$5</f>
        <v>Feb</v>
      </c>
      <c r="E56" s="157" t="str">
        <f>+Headcount!E$5</f>
        <v>Mar</v>
      </c>
      <c r="F56" s="157" t="str">
        <f>+Headcount!F$5</f>
        <v>Apr</v>
      </c>
      <c r="G56" s="157" t="str">
        <f>+Headcount!G$5</f>
        <v>May</v>
      </c>
      <c r="H56" s="157" t="str">
        <f>+Headcount!H$5</f>
        <v>Jun</v>
      </c>
      <c r="I56" s="157" t="str">
        <f>+Headcount!I$5</f>
        <v>Jul</v>
      </c>
      <c r="J56" s="157" t="str">
        <f>+Headcount!J$5</f>
        <v>Aug</v>
      </c>
      <c r="K56" s="157" t="str">
        <f>+Headcount!K$5</f>
        <v>Sep</v>
      </c>
      <c r="L56" s="157" t="str">
        <f>+Headcount!L$5</f>
        <v>Oct</v>
      </c>
      <c r="M56" s="157" t="str">
        <f>+Headcount!M$5</f>
        <v>Nov</v>
      </c>
      <c r="N56" s="157" t="str">
        <f>+Headcount!N$5</f>
        <v>Dec</v>
      </c>
      <c r="P56" s="26"/>
      <c r="Q56" s="157" t="s">
        <v>161</v>
      </c>
      <c r="R56" s="157" t="str">
        <f>+Headcount!R$5</f>
        <v>Jan</v>
      </c>
      <c r="S56" s="157" t="str">
        <f>+Headcount!S$5</f>
        <v>Feb</v>
      </c>
      <c r="T56" s="157" t="str">
        <f>+Headcount!T$5</f>
        <v>Mar</v>
      </c>
      <c r="U56" s="157" t="str">
        <f>+Headcount!U$5</f>
        <v>Apr</v>
      </c>
      <c r="V56" s="157" t="str">
        <f>+Headcount!V$5</f>
        <v>May</v>
      </c>
      <c r="W56" s="157" t="str">
        <f>+Headcount!W$5</f>
        <v>Jun</v>
      </c>
      <c r="X56" s="157" t="str">
        <f>+Headcount!X$5</f>
        <v>Jul</v>
      </c>
      <c r="Y56" s="157" t="str">
        <f>+Headcount!Y$5</f>
        <v>Aug</v>
      </c>
      <c r="Z56" s="157" t="str">
        <f>+Headcount!Z$5</f>
        <v>Sep</v>
      </c>
      <c r="AA56" s="157" t="str">
        <f>+Headcount!AA$5</f>
        <v>Oct</v>
      </c>
      <c r="AB56" s="157" t="str">
        <f>+Headcount!AB$5</f>
        <v>Nov</v>
      </c>
      <c r="AC56" s="157" t="str">
        <f>+Headcount!AC$5</f>
        <v>Dec</v>
      </c>
    </row>
    <row r="57" spans="1:29" ht="20.25">
      <c r="A57" s="56" t="s">
        <v>19</v>
      </c>
      <c r="B57" s="13"/>
      <c r="C57" s="31"/>
      <c r="D57" s="31"/>
      <c r="E57" s="31"/>
      <c r="F57" s="31"/>
      <c r="G57" s="31"/>
      <c r="H57" s="31"/>
      <c r="I57" s="31"/>
      <c r="J57" s="31"/>
      <c r="K57" s="31"/>
      <c r="L57" s="31"/>
      <c r="M57" s="31"/>
      <c r="N57" s="31"/>
      <c r="P57" s="56" t="s">
        <v>19</v>
      </c>
      <c r="Q57" s="13"/>
      <c r="R57" s="31"/>
      <c r="S57" s="31"/>
      <c r="T57" s="31"/>
      <c r="U57" s="31"/>
      <c r="V57" s="31"/>
      <c r="W57" s="31"/>
      <c r="X57" s="31"/>
      <c r="Y57" s="31"/>
      <c r="Z57" s="31"/>
      <c r="AA57" s="31"/>
      <c r="AB57" s="31"/>
      <c r="AC57" s="31"/>
    </row>
    <row r="58" spans="1:16" ht="18">
      <c r="A58" s="35" t="s">
        <v>22</v>
      </c>
      <c r="P58" s="35" t="str">
        <f aca="true" t="shared" si="27" ref="P58:P64">+A58</f>
        <v>Current Assets</v>
      </c>
    </row>
    <row r="59" spans="1:29" ht="18">
      <c r="A59" t="s">
        <v>20</v>
      </c>
      <c r="B59" s="61">
        <v>0</v>
      </c>
      <c r="C59" s="199">
        <f aca="true" t="shared" si="28" ref="C59:N59">+C129</f>
        <v>0</v>
      </c>
      <c r="D59" s="199">
        <f t="shared" si="28"/>
        <v>0</v>
      </c>
      <c r="E59" s="199">
        <f t="shared" si="28"/>
        <v>0</v>
      </c>
      <c r="F59" s="199">
        <f t="shared" si="28"/>
        <v>0</v>
      </c>
      <c r="G59" s="199">
        <f t="shared" si="28"/>
        <v>0</v>
      </c>
      <c r="H59" s="199">
        <f t="shared" si="28"/>
        <v>0</v>
      </c>
      <c r="I59" s="199">
        <f t="shared" si="28"/>
        <v>0</v>
      </c>
      <c r="J59" s="199">
        <f t="shared" si="28"/>
        <v>0</v>
      </c>
      <c r="K59" s="199">
        <f t="shared" si="28"/>
        <v>0</v>
      </c>
      <c r="L59" s="199">
        <f t="shared" si="28"/>
        <v>0</v>
      </c>
      <c r="M59" s="199">
        <f t="shared" si="28"/>
        <v>0</v>
      </c>
      <c r="N59" s="199">
        <f t="shared" si="28"/>
        <v>0</v>
      </c>
      <c r="P59" t="str">
        <f t="shared" si="27"/>
        <v>Cash</v>
      </c>
      <c r="Q59" s="61">
        <f>+N59</f>
        <v>0</v>
      </c>
      <c r="R59" s="199">
        <f aca="true" t="shared" si="29" ref="R59:AC59">+R129</f>
        <v>0</v>
      </c>
      <c r="S59" s="199">
        <f t="shared" si="29"/>
        <v>0</v>
      </c>
      <c r="T59" s="199">
        <f t="shared" si="29"/>
        <v>0</v>
      </c>
      <c r="U59" s="199">
        <f t="shared" si="29"/>
        <v>0</v>
      </c>
      <c r="V59" s="199">
        <f t="shared" si="29"/>
        <v>0</v>
      </c>
      <c r="W59" s="199">
        <f t="shared" si="29"/>
        <v>0</v>
      </c>
      <c r="X59" s="199">
        <f t="shared" si="29"/>
        <v>0</v>
      </c>
      <c r="Y59" s="199">
        <f t="shared" si="29"/>
        <v>0</v>
      </c>
      <c r="Z59" s="199">
        <f t="shared" si="29"/>
        <v>0</v>
      </c>
      <c r="AA59" s="199">
        <f t="shared" si="29"/>
        <v>0</v>
      </c>
      <c r="AB59" s="199">
        <f t="shared" si="29"/>
        <v>0</v>
      </c>
      <c r="AC59" s="199">
        <f t="shared" si="29"/>
        <v>0</v>
      </c>
    </row>
    <row r="60" spans="1:29" ht="18">
      <c r="A60" s="18" t="s">
        <v>507</v>
      </c>
      <c r="B60" s="196">
        <v>0</v>
      </c>
      <c r="C60" s="199">
        <f>+C16</f>
        <v>0</v>
      </c>
      <c r="D60" s="199">
        <f aca="true" t="shared" si="30" ref="D60:N60">+D16</f>
        <v>0</v>
      </c>
      <c r="E60" s="199">
        <f t="shared" si="30"/>
        <v>0</v>
      </c>
      <c r="F60" s="199">
        <f t="shared" si="30"/>
        <v>0</v>
      </c>
      <c r="G60" s="199">
        <f t="shared" si="30"/>
        <v>0</v>
      </c>
      <c r="H60" s="199">
        <f t="shared" si="30"/>
        <v>0</v>
      </c>
      <c r="I60" s="199">
        <f t="shared" si="30"/>
        <v>0</v>
      </c>
      <c r="J60" s="199">
        <f t="shared" si="30"/>
        <v>0</v>
      </c>
      <c r="K60" s="199">
        <f t="shared" si="30"/>
        <v>0</v>
      </c>
      <c r="L60" s="199">
        <f t="shared" si="30"/>
        <v>0</v>
      </c>
      <c r="M60" s="199">
        <f t="shared" si="30"/>
        <v>0</v>
      </c>
      <c r="N60" s="199">
        <f t="shared" si="30"/>
        <v>0</v>
      </c>
      <c r="P60" t="str">
        <f t="shared" si="27"/>
        <v>Accounts Receivable (30)</v>
      </c>
      <c r="Q60" s="61">
        <f>+N60</f>
        <v>0</v>
      </c>
      <c r="R60" s="199">
        <f>+R16</f>
        <v>0</v>
      </c>
      <c r="S60" s="199">
        <f aca="true" t="shared" si="31" ref="S60:AC60">+S16</f>
        <v>0</v>
      </c>
      <c r="T60" s="199">
        <f t="shared" si="31"/>
        <v>0</v>
      </c>
      <c r="U60" s="199">
        <f t="shared" si="31"/>
        <v>0</v>
      </c>
      <c r="V60" s="199">
        <f t="shared" si="31"/>
        <v>0</v>
      </c>
      <c r="W60" s="199">
        <f t="shared" si="31"/>
        <v>0</v>
      </c>
      <c r="X60" s="199">
        <f t="shared" si="31"/>
        <v>0</v>
      </c>
      <c r="Y60" s="199">
        <f t="shared" si="31"/>
        <v>0</v>
      </c>
      <c r="Z60" s="199">
        <f t="shared" si="31"/>
        <v>0</v>
      </c>
      <c r="AA60" s="199">
        <f t="shared" si="31"/>
        <v>0</v>
      </c>
      <c r="AB60" s="199">
        <f t="shared" si="31"/>
        <v>0</v>
      </c>
      <c r="AC60" s="199">
        <f t="shared" si="31"/>
        <v>0</v>
      </c>
    </row>
    <row r="61" spans="1:29" ht="18">
      <c r="A61" s="18" t="s">
        <v>508</v>
      </c>
      <c r="B61" s="196">
        <v>0</v>
      </c>
      <c r="C61" s="199">
        <f>+D27+E27</f>
        <v>0</v>
      </c>
      <c r="D61" s="199">
        <f aca="true" t="shared" si="32" ref="D61:L61">+E27+F27</f>
        <v>0</v>
      </c>
      <c r="E61" s="199">
        <f t="shared" si="32"/>
        <v>0</v>
      </c>
      <c r="F61" s="199">
        <f t="shared" si="32"/>
        <v>0</v>
      </c>
      <c r="G61" s="199">
        <f t="shared" si="32"/>
        <v>0</v>
      </c>
      <c r="H61" s="199">
        <f t="shared" si="32"/>
        <v>0</v>
      </c>
      <c r="I61" s="199">
        <f t="shared" si="32"/>
        <v>0</v>
      </c>
      <c r="J61" s="199">
        <f t="shared" si="32"/>
        <v>0</v>
      </c>
      <c r="K61" s="199">
        <f t="shared" si="32"/>
        <v>0</v>
      </c>
      <c r="L61" s="199">
        <f t="shared" si="32"/>
        <v>0</v>
      </c>
      <c r="M61" s="199">
        <f>+N27+R27</f>
        <v>0</v>
      </c>
      <c r="N61" s="199">
        <f>+R27+S27</f>
        <v>0</v>
      </c>
      <c r="P61" t="str">
        <f t="shared" si="27"/>
        <v>Inventory (2 mo)</v>
      </c>
      <c r="Q61" s="61">
        <f>+N61</f>
        <v>0</v>
      </c>
      <c r="R61" s="199">
        <f aca="true" t="shared" si="33" ref="R61:AA61">+S27+T27</f>
        <v>0</v>
      </c>
      <c r="S61" s="199">
        <f t="shared" si="33"/>
        <v>0</v>
      </c>
      <c r="T61" s="199">
        <f t="shared" si="33"/>
        <v>0</v>
      </c>
      <c r="U61" s="199">
        <f t="shared" si="33"/>
        <v>0</v>
      </c>
      <c r="V61" s="199">
        <f t="shared" si="33"/>
        <v>0</v>
      </c>
      <c r="W61" s="199">
        <f t="shared" si="33"/>
        <v>0</v>
      </c>
      <c r="X61" s="199">
        <f t="shared" si="33"/>
        <v>0</v>
      </c>
      <c r="Y61" s="199">
        <f t="shared" si="33"/>
        <v>0</v>
      </c>
      <c r="Z61" s="199">
        <f t="shared" si="33"/>
        <v>0</v>
      </c>
      <c r="AA61" s="199">
        <f t="shared" si="33"/>
        <v>0</v>
      </c>
      <c r="AB61" s="199">
        <f>+AC27+AC27</f>
        <v>0</v>
      </c>
      <c r="AC61" s="199">
        <f>+AC27+AC27</f>
        <v>0</v>
      </c>
    </row>
    <row r="62" spans="1:29" ht="18">
      <c r="A62" t="s">
        <v>21</v>
      </c>
      <c r="B62" s="61">
        <v>0</v>
      </c>
      <c r="C62" s="199">
        <f>+$B62+Expenses!C31</f>
        <v>0</v>
      </c>
      <c r="D62" s="199">
        <f>+$B62+Expenses!D31</f>
        <v>0</v>
      </c>
      <c r="E62" s="199">
        <f>+$B62+Expenses!E31</f>
        <v>0</v>
      </c>
      <c r="F62" s="199">
        <f>+$B62+Expenses!F31</f>
        <v>0</v>
      </c>
      <c r="G62" s="199">
        <f>+$B62+Expenses!G31</f>
        <v>0</v>
      </c>
      <c r="H62" s="199">
        <f>+$B62+Expenses!H31</f>
        <v>0</v>
      </c>
      <c r="I62" s="199">
        <f>+$B62+Expenses!I31</f>
        <v>0</v>
      </c>
      <c r="J62" s="199">
        <f>+$B62+Expenses!J31</f>
        <v>0</v>
      </c>
      <c r="K62" s="199">
        <f>+$B62+Expenses!K31</f>
        <v>0</v>
      </c>
      <c r="L62" s="199">
        <f>+$B62+Expenses!L31</f>
        <v>0</v>
      </c>
      <c r="M62" s="199">
        <f>+$B62+Expenses!M31</f>
        <v>0</v>
      </c>
      <c r="N62" s="199">
        <f>+$B62+Expenses!N31</f>
        <v>0</v>
      </c>
      <c r="P62" t="str">
        <f t="shared" si="27"/>
        <v>Deposits</v>
      </c>
      <c r="Q62" s="61">
        <f>+N62</f>
        <v>0</v>
      </c>
      <c r="R62" s="199">
        <f>+$B62+Expenses!R31</f>
        <v>0</v>
      </c>
      <c r="S62" s="199">
        <f>+$B62+Expenses!S31</f>
        <v>0</v>
      </c>
      <c r="T62" s="199">
        <f>+$B62+Expenses!T31</f>
        <v>0</v>
      </c>
      <c r="U62" s="199">
        <f>+$B62+Expenses!U31</f>
        <v>0</v>
      </c>
      <c r="V62" s="199">
        <f>+$B62+Expenses!V31</f>
        <v>0</v>
      </c>
      <c r="W62" s="199">
        <f>+$B62+Expenses!W31</f>
        <v>0</v>
      </c>
      <c r="X62" s="199">
        <f>+$B62+Expenses!X31</f>
        <v>0</v>
      </c>
      <c r="Y62" s="199">
        <f>+$B62+Expenses!Y31</f>
        <v>0</v>
      </c>
      <c r="Z62" s="199">
        <f>+$B62+Expenses!Z31</f>
        <v>0</v>
      </c>
      <c r="AA62" s="199">
        <f>+$B62+Expenses!AA31</f>
        <v>0</v>
      </c>
      <c r="AB62" s="199">
        <f>+$B62+Expenses!AB31</f>
        <v>0</v>
      </c>
      <c r="AC62" s="199">
        <f>+$B62+Expenses!AC31</f>
        <v>0</v>
      </c>
    </row>
    <row r="63" spans="1:29" ht="18">
      <c r="A63" s="40" t="s">
        <v>6</v>
      </c>
      <c r="B63" s="71">
        <v>0</v>
      </c>
      <c r="C63" s="200">
        <f>+B63</f>
        <v>0</v>
      </c>
      <c r="D63" s="200">
        <f aca="true" t="shared" si="34" ref="D63:N63">+C63</f>
        <v>0</v>
      </c>
      <c r="E63" s="200">
        <f t="shared" si="34"/>
        <v>0</v>
      </c>
      <c r="F63" s="200">
        <f t="shared" si="34"/>
        <v>0</v>
      </c>
      <c r="G63" s="200">
        <f t="shared" si="34"/>
        <v>0</v>
      </c>
      <c r="H63" s="200">
        <f t="shared" si="34"/>
        <v>0</v>
      </c>
      <c r="I63" s="200">
        <f t="shared" si="34"/>
        <v>0</v>
      </c>
      <c r="J63" s="200">
        <f t="shared" si="34"/>
        <v>0</v>
      </c>
      <c r="K63" s="200">
        <f t="shared" si="34"/>
        <v>0</v>
      </c>
      <c r="L63" s="200">
        <f t="shared" si="34"/>
        <v>0</v>
      </c>
      <c r="M63" s="200">
        <f t="shared" si="34"/>
        <v>0</v>
      </c>
      <c r="N63" s="200">
        <f t="shared" si="34"/>
        <v>0</v>
      </c>
      <c r="P63" t="str">
        <f t="shared" si="27"/>
        <v>Other</v>
      </c>
      <c r="Q63" s="61">
        <f>+N63</f>
        <v>0</v>
      </c>
      <c r="R63" s="200">
        <f aca="true" t="shared" si="35" ref="R63:AC63">+Q63</f>
        <v>0</v>
      </c>
      <c r="S63" s="200">
        <f t="shared" si="35"/>
        <v>0</v>
      </c>
      <c r="T63" s="200">
        <f t="shared" si="35"/>
        <v>0</v>
      </c>
      <c r="U63" s="200">
        <f t="shared" si="35"/>
        <v>0</v>
      </c>
      <c r="V63" s="200">
        <f t="shared" si="35"/>
        <v>0</v>
      </c>
      <c r="W63" s="200">
        <f t="shared" si="35"/>
        <v>0</v>
      </c>
      <c r="X63" s="200">
        <f t="shared" si="35"/>
        <v>0</v>
      </c>
      <c r="Y63" s="200">
        <f t="shared" si="35"/>
        <v>0</v>
      </c>
      <c r="Z63" s="200">
        <f t="shared" si="35"/>
        <v>0</v>
      </c>
      <c r="AA63" s="200">
        <f t="shared" si="35"/>
        <v>0</v>
      </c>
      <c r="AB63" s="200">
        <f t="shared" si="35"/>
        <v>0</v>
      </c>
      <c r="AC63" s="200">
        <f t="shared" si="35"/>
        <v>0</v>
      </c>
    </row>
    <row r="64" spans="1:29" ht="18">
      <c r="A64" s="161" t="s">
        <v>23</v>
      </c>
      <c r="B64" s="77">
        <f aca="true" t="shared" si="36" ref="B64:N64">SUM(B59:B63)</f>
        <v>0</v>
      </c>
      <c r="C64" s="201">
        <f t="shared" si="36"/>
        <v>0</v>
      </c>
      <c r="D64" s="201">
        <f t="shared" si="36"/>
        <v>0</v>
      </c>
      <c r="E64" s="201">
        <f t="shared" si="36"/>
        <v>0</v>
      </c>
      <c r="F64" s="201">
        <f t="shared" si="36"/>
        <v>0</v>
      </c>
      <c r="G64" s="201">
        <f t="shared" si="36"/>
        <v>0</v>
      </c>
      <c r="H64" s="201">
        <f t="shared" si="36"/>
        <v>0</v>
      </c>
      <c r="I64" s="201">
        <f t="shared" si="36"/>
        <v>0</v>
      </c>
      <c r="J64" s="201">
        <f t="shared" si="36"/>
        <v>0</v>
      </c>
      <c r="K64" s="201">
        <f t="shared" si="36"/>
        <v>0</v>
      </c>
      <c r="L64" s="201">
        <f t="shared" si="36"/>
        <v>0</v>
      </c>
      <c r="M64" s="201">
        <f t="shared" si="36"/>
        <v>0</v>
      </c>
      <c r="N64" s="201">
        <f t="shared" si="36"/>
        <v>0</v>
      </c>
      <c r="P64" s="161" t="str">
        <f t="shared" si="27"/>
        <v>Total Current Assets</v>
      </c>
      <c r="Q64" s="77">
        <f aca="true" t="shared" si="37" ref="Q64:AC64">SUM(Q59:Q63)</f>
        <v>0</v>
      </c>
      <c r="R64" s="201">
        <f t="shared" si="37"/>
        <v>0</v>
      </c>
      <c r="S64" s="201">
        <f t="shared" si="37"/>
        <v>0</v>
      </c>
      <c r="T64" s="201">
        <f t="shared" si="37"/>
        <v>0</v>
      </c>
      <c r="U64" s="201">
        <f t="shared" si="37"/>
        <v>0</v>
      </c>
      <c r="V64" s="201">
        <f t="shared" si="37"/>
        <v>0</v>
      </c>
      <c r="W64" s="201">
        <f t="shared" si="37"/>
        <v>0</v>
      </c>
      <c r="X64" s="201">
        <f t="shared" si="37"/>
        <v>0</v>
      </c>
      <c r="Y64" s="201">
        <f t="shared" si="37"/>
        <v>0</v>
      </c>
      <c r="Z64" s="201">
        <f t="shared" si="37"/>
        <v>0</v>
      </c>
      <c r="AA64" s="201">
        <f t="shared" si="37"/>
        <v>0</v>
      </c>
      <c r="AB64" s="201">
        <f t="shared" si="37"/>
        <v>0</v>
      </c>
      <c r="AC64" s="201">
        <f t="shared" si="37"/>
        <v>0</v>
      </c>
    </row>
    <row r="65" spans="1:29" ht="10.5" customHeight="1">
      <c r="A65" s="13"/>
      <c r="B65" s="13"/>
      <c r="C65" s="202"/>
      <c r="D65" s="202"/>
      <c r="E65" s="202"/>
      <c r="F65" s="202"/>
      <c r="G65" s="202"/>
      <c r="H65" s="202"/>
      <c r="I65" s="202"/>
      <c r="J65" s="202"/>
      <c r="K65" s="202"/>
      <c r="L65" s="202"/>
      <c r="M65" s="202"/>
      <c r="N65" s="202"/>
      <c r="P65" s="13"/>
      <c r="Q65" s="13"/>
      <c r="R65" s="202"/>
      <c r="S65" s="202"/>
      <c r="T65" s="202"/>
      <c r="U65" s="202"/>
      <c r="V65" s="202"/>
      <c r="W65" s="202"/>
      <c r="X65" s="202"/>
      <c r="Y65" s="202"/>
      <c r="Z65" s="202"/>
      <c r="AA65" s="202"/>
      <c r="AB65" s="202"/>
      <c r="AC65" s="202"/>
    </row>
    <row r="66" spans="1:29" ht="18">
      <c r="A66" s="35" t="s">
        <v>24</v>
      </c>
      <c r="C66" s="203"/>
      <c r="D66" s="205"/>
      <c r="E66" s="205"/>
      <c r="F66" s="205"/>
      <c r="G66" s="205"/>
      <c r="H66" s="205"/>
      <c r="I66" s="205"/>
      <c r="J66" s="205"/>
      <c r="K66" s="205"/>
      <c r="L66" s="205"/>
      <c r="M66" s="203"/>
      <c r="N66" s="203"/>
      <c r="P66" s="35" t="s">
        <v>24</v>
      </c>
      <c r="R66" s="203"/>
      <c r="S66" s="205"/>
      <c r="T66" s="205"/>
      <c r="U66" s="205"/>
      <c r="V66" s="205"/>
      <c r="W66" s="205"/>
      <c r="X66" s="205"/>
      <c r="Y66" s="205"/>
      <c r="Z66" s="205"/>
      <c r="AA66" s="205"/>
      <c r="AB66" s="203"/>
      <c r="AC66" s="203"/>
    </row>
    <row r="67" spans="1:29" ht="18">
      <c r="A67" t="s">
        <v>25</v>
      </c>
      <c r="B67" s="61">
        <v>0</v>
      </c>
      <c r="C67" s="199">
        <f>+Equipment!C17+B67</f>
        <v>0</v>
      </c>
      <c r="D67" s="199">
        <f>+Equipment!D17+C67</f>
        <v>0</v>
      </c>
      <c r="E67" s="199">
        <f>+Equipment!E17+D67</f>
        <v>0</v>
      </c>
      <c r="F67" s="199">
        <f>+Equipment!F17+E67</f>
        <v>0</v>
      </c>
      <c r="G67" s="199">
        <f>+Equipment!G17+F67</f>
        <v>0</v>
      </c>
      <c r="H67" s="199">
        <f>+Equipment!H17+G67</f>
        <v>0</v>
      </c>
      <c r="I67" s="199">
        <f>+Equipment!I17+H67</f>
        <v>0</v>
      </c>
      <c r="J67" s="199">
        <f>+Equipment!J17+I67</f>
        <v>0</v>
      </c>
      <c r="K67" s="199">
        <f>+Equipment!K17+J67</f>
        <v>0</v>
      </c>
      <c r="L67" s="199">
        <f>+Equipment!L17+K67</f>
        <v>0</v>
      </c>
      <c r="M67" s="199">
        <f>+Equipment!M17+L67</f>
        <v>0</v>
      </c>
      <c r="N67" s="199">
        <f>+Equipment!N17+M67</f>
        <v>0</v>
      </c>
      <c r="P67" t="str">
        <f>+A67</f>
        <v>Computer Equipment</v>
      </c>
      <c r="Q67" s="61">
        <f>+N67</f>
        <v>0</v>
      </c>
      <c r="R67" s="199">
        <f>+Equipment!R17+Q67</f>
        <v>0</v>
      </c>
      <c r="S67" s="199">
        <f>+Equipment!S17+R67</f>
        <v>0</v>
      </c>
      <c r="T67" s="199">
        <f>+Equipment!T17+S67</f>
        <v>0</v>
      </c>
      <c r="U67" s="199">
        <f>+Equipment!U17+T67</f>
        <v>0</v>
      </c>
      <c r="V67" s="199">
        <f>+Equipment!V17+U67</f>
        <v>0</v>
      </c>
      <c r="W67" s="199">
        <f>+Equipment!W17+V67</f>
        <v>0</v>
      </c>
      <c r="X67" s="199">
        <f>+Equipment!X17+W67</f>
        <v>0</v>
      </c>
      <c r="Y67" s="199">
        <f>+Equipment!Y17+X67</f>
        <v>0</v>
      </c>
      <c r="Z67" s="199">
        <f>+Equipment!Z17+Y67</f>
        <v>0</v>
      </c>
      <c r="AA67" s="199">
        <f>+Equipment!AA17+Z67</f>
        <v>0</v>
      </c>
      <c r="AB67" s="199">
        <f>+Equipment!AB17+AA67</f>
        <v>0</v>
      </c>
      <c r="AC67" s="199">
        <f>+Equipment!AC17+AB67</f>
        <v>0</v>
      </c>
    </row>
    <row r="68" spans="1:29" ht="18">
      <c r="A68" t="s">
        <v>157</v>
      </c>
      <c r="B68" s="61">
        <v>0</v>
      </c>
      <c r="C68" s="199">
        <f>+Equipment!C40+B68</f>
        <v>0</v>
      </c>
      <c r="D68" s="199">
        <f>+Equipment!D40+C68</f>
        <v>0</v>
      </c>
      <c r="E68" s="199">
        <f>+Equipment!E40+D68</f>
        <v>0</v>
      </c>
      <c r="F68" s="199">
        <f>+Equipment!F40+E68</f>
        <v>0</v>
      </c>
      <c r="G68" s="199">
        <f>+Equipment!G40+F68</f>
        <v>0</v>
      </c>
      <c r="H68" s="199">
        <f>+Equipment!H40+G68</f>
        <v>0</v>
      </c>
      <c r="I68" s="199">
        <f>+Equipment!I40+H68</f>
        <v>0</v>
      </c>
      <c r="J68" s="199">
        <f>+Equipment!J40+I68</f>
        <v>0</v>
      </c>
      <c r="K68" s="199">
        <f>+Equipment!K40+J68</f>
        <v>0</v>
      </c>
      <c r="L68" s="199">
        <f>+Equipment!L40+K68</f>
        <v>0</v>
      </c>
      <c r="M68" s="199">
        <f>+Equipment!M40+L68</f>
        <v>0</v>
      </c>
      <c r="N68" s="199">
        <f>+Equipment!N40+M68</f>
        <v>0</v>
      </c>
      <c r="P68" t="str">
        <f>+A68</f>
        <v>Furniture &amp; Fixtures</v>
      </c>
      <c r="Q68" s="61">
        <f>+N68</f>
        <v>0</v>
      </c>
      <c r="R68" s="199">
        <f>+Equipment!R40+Q68</f>
        <v>0</v>
      </c>
      <c r="S68" s="199">
        <f>+Equipment!S40+R68</f>
        <v>0</v>
      </c>
      <c r="T68" s="199">
        <f>+Equipment!T40+S68</f>
        <v>0</v>
      </c>
      <c r="U68" s="199">
        <f>+Equipment!U40+T68</f>
        <v>0</v>
      </c>
      <c r="V68" s="199">
        <f>+Equipment!V40+U68</f>
        <v>0</v>
      </c>
      <c r="W68" s="199">
        <f>+Equipment!W40+V68</f>
        <v>0</v>
      </c>
      <c r="X68" s="199">
        <f>+Equipment!X40+W68</f>
        <v>0</v>
      </c>
      <c r="Y68" s="199">
        <f>+Equipment!Y40+X68</f>
        <v>0</v>
      </c>
      <c r="Z68" s="199">
        <f>+Equipment!Z40+Y68</f>
        <v>0</v>
      </c>
      <c r="AA68" s="199">
        <f>+Equipment!AA40+Z68</f>
        <v>0</v>
      </c>
      <c r="AB68" s="199">
        <f>+Equipment!AB40+AA68</f>
        <v>0</v>
      </c>
      <c r="AC68" s="199">
        <f>+Equipment!AC40+AB68</f>
        <v>0</v>
      </c>
    </row>
    <row r="69" spans="1:29" s="13" customFormat="1" ht="18">
      <c r="A69" s="40" t="s">
        <v>64</v>
      </c>
      <c r="B69" s="71">
        <v>0</v>
      </c>
      <c r="C69" s="200">
        <f>(+B69-Equipment!C49)</f>
        <v>0</v>
      </c>
      <c r="D69" s="200">
        <f>(+C69-Equipment!D49)</f>
        <v>0</v>
      </c>
      <c r="E69" s="200">
        <f>(+D69-Equipment!E49)</f>
        <v>0</v>
      </c>
      <c r="F69" s="200">
        <f>(+E69-Equipment!F49)</f>
        <v>0</v>
      </c>
      <c r="G69" s="200">
        <f>(+F69-Equipment!G49)</f>
        <v>0</v>
      </c>
      <c r="H69" s="200">
        <f>(+G69-Equipment!H49)</f>
        <v>0</v>
      </c>
      <c r="I69" s="200">
        <f>(+H69-Equipment!I49)</f>
        <v>0</v>
      </c>
      <c r="J69" s="200">
        <f>(+I69-Equipment!J49)</f>
        <v>0</v>
      </c>
      <c r="K69" s="200">
        <f>(+J69-Equipment!K49)</f>
        <v>0</v>
      </c>
      <c r="L69" s="200">
        <f>(+K69-Equipment!L49)</f>
        <v>0</v>
      </c>
      <c r="M69" s="200">
        <f>(+L69-Equipment!M49)</f>
        <v>0</v>
      </c>
      <c r="N69" s="200">
        <f>(+M69-Equipment!N49)</f>
        <v>0</v>
      </c>
      <c r="P69" t="str">
        <f>+A69</f>
        <v>Accum. Depreciation</v>
      </c>
      <c r="Q69" s="61">
        <f>+N69</f>
        <v>0</v>
      </c>
      <c r="R69" s="200">
        <f>(+Q69-Equipment!R49)</f>
        <v>0</v>
      </c>
      <c r="S69" s="200">
        <f>(+R69-Equipment!S49)</f>
        <v>0</v>
      </c>
      <c r="T69" s="200">
        <f>(+S69-Equipment!T49)</f>
        <v>0</v>
      </c>
      <c r="U69" s="200">
        <f>(+T69-Equipment!U49)</f>
        <v>0</v>
      </c>
      <c r="V69" s="200">
        <f>(+U69-Equipment!V49)</f>
        <v>0</v>
      </c>
      <c r="W69" s="200">
        <f>(+V69-Equipment!W49)</f>
        <v>0</v>
      </c>
      <c r="X69" s="200">
        <f>(+W69-Equipment!X49)</f>
        <v>0</v>
      </c>
      <c r="Y69" s="200">
        <f>(+X69-Equipment!Y49)</f>
        <v>0</v>
      </c>
      <c r="Z69" s="200">
        <f>(+Y69-Equipment!Z49)</f>
        <v>0</v>
      </c>
      <c r="AA69" s="200">
        <f>(+Z69-Equipment!AA49)</f>
        <v>0</v>
      </c>
      <c r="AB69" s="200">
        <f>(+AA69-Equipment!AB49)</f>
        <v>0</v>
      </c>
      <c r="AC69" s="200">
        <f>(+AB69-Equipment!AC49)</f>
        <v>0</v>
      </c>
    </row>
    <row r="70" spans="1:29" ht="18">
      <c r="A70" s="161" t="s">
        <v>26</v>
      </c>
      <c r="B70" s="77">
        <f aca="true" t="shared" si="38" ref="B70:N70">SUM(B67:B69)</f>
        <v>0</v>
      </c>
      <c r="C70" s="201">
        <f t="shared" si="38"/>
        <v>0</v>
      </c>
      <c r="D70" s="201">
        <f t="shared" si="38"/>
        <v>0</v>
      </c>
      <c r="E70" s="201">
        <f t="shared" si="38"/>
        <v>0</v>
      </c>
      <c r="F70" s="201">
        <f t="shared" si="38"/>
        <v>0</v>
      </c>
      <c r="G70" s="201">
        <f t="shared" si="38"/>
        <v>0</v>
      </c>
      <c r="H70" s="201">
        <f t="shared" si="38"/>
        <v>0</v>
      </c>
      <c r="I70" s="201">
        <f t="shared" si="38"/>
        <v>0</v>
      </c>
      <c r="J70" s="201">
        <f t="shared" si="38"/>
        <v>0</v>
      </c>
      <c r="K70" s="201">
        <f t="shared" si="38"/>
        <v>0</v>
      </c>
      <c r="L70" s="201">
        <f t="shared" si="38"/>
        <v>0</v>
      </c>
      <c r="M70" s="201">
        <f t="shared" si="38"/>
        <v>0</v>
      </c>
      <c r="N70" s="201">
        <f t="shared" si="38"/>
        <v>0</v>
      </c>
      <c r="P70" s="161" t="str">
        <f>+A70</f>
        <v>Total Fixed Assets</v>
      </c>
      <c r="Q70" s="77">
        <f aca="true" t="shared" si="39" ref="Q70:AC70">SUM(Q67:Q69)</f>
        <v>0</v>
      </c>
      <c r="R70" s="201">
        <f t="shared" si="39"/>
        <v>0</v>
      </c>
      <c r="S70" s="201">
        <f t="shared" si="39"/>
        <v>0</v>
      </c>
      <c r="T70" s="201">
        <f t="shared" si="39"/>
        <v>0</v>
      </c>
      <c r="U70" s="201">
        <f t="shared" si="39"/>
        <v>0</v>
      </c>
      <c r="V70" s="201">
        <f t="shared" si="39"/>
        <v>0</v>
      </c>
      <c r="W70" s="201">
        <f t="shared" si="39"/>
        <v>0</v>
      </c>
      <c r="X70" s="201">
        <f t="shared" si="39"/>
        <v>0</v>
      </c>
      <c r="Y70" s="201">
        <f t="shared" si="39"/>
        <v>0</v>
      </c>
      <c r="Z70" s="201">
        <f t="shared" si="39"/>
        <v>0</v>
      </c>
      <c r="AA70" s="201">
        <f t="shared" si="39"/>
        <v>0</v>
      </c>
      <c r="AB70" s="201">
        <f t="shared" si="39"/>
        <v>0</v>
      </c>
      <c r="AC70" s="201">
        <f t="shared" si="39"/>
        <v>0</v>
      </c>
    </row>
    <row r="71" spans="1:29" ht="10.5" customHeight="1">
      <c r="A71" s="13"/>
      <c r="B71" s="52"/>
      <c r="C71" s="204"/>
      <c r="D71" s="204"/>
      <c r="E71" s="204"/>
      <c r="F71" s="204"/>
      <c r="G71" s="204"/>
      <c r="H71" s="204"/>
      <c r="I71" s="204"/>
      <c r="J71" s="204"/>
      <c r="K71" s="204"/>
      <c r="L71" s="204"/>
      <c r="M71" s="204"/>
      <c r="N71" s="204"/>
      <c r="P71" s="13"/>
      <c r="Q71" s="52"/>
      <c r="R71" s="204"/>
      <c r="S71" s="204"/>
      <c r="T71" s="204"/>
      <c r="U71" s="204"/>
      <c r="V71" s="204"/>
      <c r="W71" s="204"/>
      <c r="X71" s="204"/>
      <c r="Y71" s="204"/>
      <c r="Z71" s="204"/>
      <c r="AA71" s="204"/>
      <c r="AB71" s="204"/>
      <c r="AC71" s="204"/>
    </row>
    <row r="72" spans="1:30" ht="18.75" thickBot="1">
      <c r="A72" s="13" t="s">
        <v>27</v>
      </c>
      <c r="B72" s="245">
        <f aca="true" t="shared" si="40" ref="B72:N72">+B64+B70</f>
        <v>0</v>
      </c>
      <c r="C72" s="246">
        <f t="shared" si="40"/>
        <v>0</v>
      </c>
      <c r="D72" s="246">
        <f t="shared" si="40"/>
        <v>0</v>
      </c>
      <c r="E72" s="246">
        <f t="shared" si="40"/>
        <v>0</v>
      </c>
      <c r="F72" s="246">
        <f t="shared" si="40"/>
        <v>0</v>
      </c>
      <c r="G72" s="246">
        <f t="shared" si="40"/>
        <v>0</v>
      </c>
      <c r="H72" s="246">
        <f t="shared" si="40"/>
        <v>0</v>
      </c>
      <c r="I72" s="246">
        <f t="shared" si="40"/>
        <v>0</v>
      </c>
      <c r="J72" s="246">
        <f t="shared" si="40"/>
        <v>0</v>
      </c>
      <c r="K72" s="246">
        <f t="shared" si="40"/>
        <v>0</v>
      </c>
      <c r="L72" s="246">
        <f t="shared" si="40"/>
        <v>0</v>
      </c>
      <c r="M72" s="246">
        <f t="shared" si="40"/>
        <v>0</v>
      </c>
      <c r="N72" s="247">
        <f t="shared" si="40"/>
        <v>0</v>
      </c>
      <c r="O72" s="13"/>
      <c r="P72" s="13" t="str">
        <f>+A72</f>
        <v>Total Assets</v>
      </c>
      <c r="Q72" s="52">
        <f aca="true" t="shared" si="41" ref="Q72:AC72">+Q64+Q70</f>
        <v>0</v>
      </c>
      <c r="R72" s="245">
        <f t="shared" si="41"/>
        <v>0</v>
      </c>
      <c r="S72" s="246">
        <f t="shared" si="41"/>
        <v>0</v>
      </c>
      <c r="T72" s="246">
        <f t="shared" si="41"/>
        <v>0</v>
      </c>
      <c r="U72" s="246">
        <f t="shared" si="41"/>
        <v>0</v>
      </c>
      <c r="V72" s="246">
        <f t="shared" si="41"/>
        <v>0</v>
      </c>
      <c r="W72" s="246">
        <f t="shared" si="41"/>
        <v>0</v>
      </c>
      <c r="X72" s="246">
        <f t="shared" si="41"/>
        <v>0</v>
      </c>
      <c r="Y72" s="246">
        <f t="shared" si="41"/>
        <v>0</v>
      </c>
      <c r="Z72" s="246">
        <f t="shared" si="41"/>
        <v>0</v>
      </c>
      <c r="AA72" s="246">
        <f t="shared" si="41"/>
        <v>0</v>
      </c>
      <c r="AB72" s="246">
        <f t="shared" si="41"/>
        <v>0</v>
      </c>
      <c r="AC72" s="247">
        <f t="shared" si="41"/>
        <v>0</v>
      </c>
      <c r="AD72" s="13"/>
    </row>
    <row r="73" spans="3:29" ht="9.75" customHeight="1" thickTop="1">
      <c r="C73" s="203"/>
      <c r="D73" s="203"/>
      <c r="E73" s="203"/>
      <c r="F73" s="203"/>
      <c r="G73" s="203"/>
      <c r="H73" s="203"/>
      <c r="I73" s="203"/>
      <c r="J73" s="203"/>
      <c r="K73" s="203"/>
      <c r="L73" s="203"/>
      <c r="M73" s="203"/>
      <c r="N73" s="203"/>
      <c r="R73" s="203"/>
      <c r="S73" s="203"/>
      <c r="T73" s="203"/>
      <c r="U73" s="203"/>
      <c r="V73" s="203"/>
      <c r="W73" s="203"/>
      <c r="X73" s="203"/>
      <c r="Y73" s="203"/>
      <c r="Z73" s="203"/>
      <c r="AA73" s="203"/>
      <c r="AB73" s="203"/>
      <c r="AC73" s="203"/>
    </row>
    <row r="74" spans="3:29" ht="9.75" customHeight="1">
      <c r="C74" s="203"/>
      <c r="D74" s="203"/>
      <c r="E74" s="203"/>
      <c r="F74" s="203"/>
      <c r="G74" s="203"/>
      <c r="H74" s="203"/>
      <c r="I74" s="203"/>
      <c r="J74" s="203"/>
      <c r="K74" s="203"/>
      <c r="L74" s="203"/>
      <c r="M74" s="203"/>
      <c r="N74" s="203"/>
      <c r="R74" s="203"/>
      <c r="S74" s="203"/>
      <c r="T74" s="203"/>
      <c r="U74" s="203"/>
      <c r="V74" s="203"/>
      <c r="W74" s="203"/>
      <c r="X74" s="203"/>
      <c r="Y74" s="203"/>
      <c r="Z74" s="203"/>
      <c r="AA74" s="203"/>
      <c r="AB74" s="203"/>
      <c r="AC74" s="203"/>
    </row>
    <row r="75" spans="1:29" ht="20.25">
      <c r="A75" s="56" t="s">
        <v>28</v>
      </c>
      <c r="C75" s="203"/>
      <c r="D75" s="203"/>
      <c r="E75" s="203"/>
      <c r="F75" s="203"/>
      <c r="G75" s="203"/>
      <c r="H75" s="203"/>
      <c r="I75" s="203"/>
      <c r="J75" s="203"/>
      <c r="K75" s="203"/>
      <c r="L75" s="203"/>
      <c r="M75" s="203"/>
      <c r="N75" s="203"/>
      <c r="P75" s="56" t="str">
        <f aca="true" t="shared" si="42" ref="P75:P80">+A75</f>
        <v>LIABILITIES</v>
      </c>
      <c r="R75" s="203"/>
      <c r="S75" s="203"/>
      <c r="T75" s="203"/>
      <c r="U75" s="203"/>
      <c r="V75" s="203"/>
      <c r="W75" s="203"/>
      <c r="X75" s="203"/>
      <c r="Y75" s="203"/>
      <c r="Z75" s="203"/>
      <c r="AA75" s="203"/>
      <c r="AB75" s="203"/>
      <c r="AC75" s="203"/>
    </row>
    <row r="76" spans="1:29" ht="18">
      <c r="A76" s="49" t="s">
        <v>29</v>
      </c>
      <c r="C76" s="203"/>
      <c r="D76" s="203"/>
      <c r="E76" s="203"/>
      <c r="F76" s="203"/>
      <c r="G76" s="203"/>
      <c r="H76" s="203"/>
      <c r="I76" s="203"/>
      <c r="J76" s="205"/>
      <c r="K76" s="203"/>
      <c r="L76" s="203"/>
      <c r="M76" s="203"/>
      <c r="N76" s="203"/>
      <c r="P76" s="49" t="str">
        <f t="shared" si="42"/>
        <v>Current Liabilities</v>
      </c>
      <c r="R76" s="203"/>
      <c r="S76" s="203"/>
      <c r="T76" s="203"/>
      <c r="U76" s="203"/>
      <c r="V76" s="203"/>
      <c r="W76" s="203"/>
      <c r="X76" s="203"/>
      <c r="Y76" s="205"/>
      <c r="Z76" s="203"/>
      <c r="AA76" s="203"/>
      <c r="AB76" s="203"/>
      <c r="AC76" s="203"/>
    </row>
    <row r="77" spans="1:29" ht="18">
      <c r="A77" s="18" t="s">
        <v>567</v>
      </c>
      <c r="B77" s="196">
        <v>0</v>
      </c>
      <c r="C77" s="199">
        <f>SUM(C34:C35)*0.25</f>
        <v>0</v>
      </c>
      <c r="D77" s="199">
        <f aca="true" t="shared" si="43" ref="D77:N77">SUM(D34:D35)*0.25</f>
        <v>0</v>
      </c>
      <c r="E77" s="199">
        <f t="shared" si="43"/>
        <v>0</v>
      </c>
      <c r="F77" s="199">
        <f t="shared" si="43"/>
        <v>0</v>
      </c>
      <c r="G77" s="199">
        <f t="shared" si="43"/>
        <v>0</v>
      </c>
      <c r="H77" s="199">
        <f t="shared" si="43"/>
        <v>0</v>
      </c>
      <c r="I77" s="199">
        <f t="shared" si="43"/>
        <v>0</v>
      </c>
      <c r="J77" s="199">
        <f t="shared" si="43"/>
        <v>0</v>
      </c>
      <c r="K77" s="199">
        <f t="shared" si="43"/>
        <v>0</v>
      </c>
      <c r="L77" s="199">
        <f t="shared" si="43"/>
        <v>0</v>
      </c>
      <c r="M77" s="199">
        <f t="shared" si="43"/>
        <v>0</v>
      </c>
      <c r="N77" s="199">
        <f t="shared" si="43"/>
        <v>0</v>
      </c>
      <c r="P77" t="str">
        <f t="shared" si="42"/>
        <v>Accounts Payable (7 days)</v>
      </c>
      <c r="Q77" s="196">
        <f>+N77</f>
        <v>0</v>
      </c>
      <c r="R77" s="199">
        <f>SUM(R34:R35)*0.25</f>
        <v>0</v>
      </c>
      <c r="S77" s="199">
        <f aca="true" t="shared" si="44" ref="S77:AC77">SUM(S34:S35)*0.25</f>
        <v>0</v>
      </c>
      <c r="T77" s="199">
        <f t="shared" si="44"/>
        <v>0</v>
      </c>
      <c r="U77" s="199">
        <f t="shared" si="44"/>
        <v>0</v>
      </c>
      <c r="V77" s="199">
        <f t="shared" si="44"/>
        <v>0</v>
      </c>
      <c r="W77" s="199">
        <f t="shared" si="44"/>
        <v>0</v>
      </c>
      <c r="X77" s="199">
        <f t="shared" si="44"/>
        <v>0</v>
      </c>
      <c r="Y77" s="199">
        <f t="shared" si="44"/>
        <v>0</v>
      </c>
      <c r="Z77" s="199">
        <f t="shared" si="44"/>
        <v>0</v>
      </c>
      <c r="AA77" s="199">
        <f t="shared" si="44"/>
        <v>0</v>
      </c>
      <c r="AB77" s="199">
        <f t="shared" si="44"/>
        <v>0</v>
      </c>
      <c r="AC77" s="199">
        <f t="shared" si="44"/>
        <v>0</v>
      </c>
    </row>
    <row r="78" spans="1:29" ht="18">
      <c r="A78" t="s">
        <v>6</v>
      </c>
      <c r="B78" s="196">
        <v>0</v>
      </c>
      <c r="C78" s="199">
        <f>+B78</f>
        <v>0</v>
      </c>
      <c r="D78" s="199">
        <f aca="true" t="shared" si="45" ref="D78:N78">+C78</f>
        <v>0</v>
      </c>
      <c r="E78" s="199">
        <f t="shared" si="45"/>
        <v>0</v>
      </c>
      <c r="F78" s="199">
        <f t="shared" si="45"/>
        <v>0</v>
      </c>
      <c r="G78" s="199">
        <f t="shared" si="45"/>
        <v>0</v>
      </c>
      <c r="H78" s="199">
        <f t="shared" si="45"/>
        <v>0</v>
      </c>
      <c r="I78" s="199">
        <f t="shared" si="45"/>
        <v>0</v>
      </c>
      <c r="J78" s="199">
        <f t="shared" si="45"/>
        <v>0</v>
      </c>
      <c r="K78" s="199">
        <f t="shared" si="45"/>
        <v>0</v>
      </c>
      <c r="L78" s="199">
        <f t="shared" si="45"/>
        <v>0</v>
      </c>
      <c r="M78" s="199">
        <f t="shared" si="45"/>
        <v>0</v>
      </c>
      <c r="N78" s="199">
        <f t="shared" si="45"/>
        <v>0</v>
      </c>
      <c r="P78" t="str">
        <f t="shared" si="42"/>
        <v>Other</v>
      </c>
      <c r="Q78" s="196">
        <f>+N78</f>
        <v>0</v>
      </c>
      <c r="R78" s="199">
        <f>+Q78</f>
        <v>0</v>
      </c>
      <c r="S78" s="199">
        <f aca="true" t="shared" si="46" ref="S78:AC78">+R78</f>
        <v>0</v>
      </c>
      <c r="T78" s="199">
        <f t="shared" si="46"/>
        <v>0</v>
      </c>
      <c r="U78" s="199">
        <f t="shared" si="46"/>
        <v>0</v>
      </c>
      <c r="V78" s="199">
        <f t="shared" si="46"/>
        <v>0</v>
      </c>
      <c r="W78" s="199">
        <f t="shared" si="46"/>
        <v>0</v>
      </c>
      <c r="X78" s="199">
        <f t="shared" si="46"/>
        <v>0</v>
      </c>
      <c r="Y78" s="199">
        <f t="shared" si="46"/>
        <v>0</v>
      </c>
      <c r="Z78" s="199">
        <f t="shared" si="46"/>
        <v>0</v>
      </c>
      <c r="AA78" s="199">
        <f t="shared" si="46"/>
        <v>0</v>
      </c>
      <c r="AB78" s="199">
        <f t="shared" si="46"/>
        <v>0</v>
      </c>
      <c r="AC78" s="199">
        <f t="shared" si="46"/>
        <v>0</v>
      </c>
    </row>
    <row r="79" spans="1:29" ht="18">
      <c r="A79" s="18" t="s">
        <v>158</v>
      </c>
      <c r="B79" s="61">
        <v>0</v>
      </c>
      <c r="C79" s="61">
        <f>+C259</f>
        <v>0</v>
      </c>
      <c r="D79" s="61">
        <f aca="true" t="shared" si="47" ref="D79:N79">+D259</f>
        <v>0</v>
      </c>
      <c r="E79" s="61">
        <f t="shared" si="47"/>
        <v>0</v>
      </c>
      <c r="F79" s="61">
        <f t="shared" si="47"/>
        <v>0</v>
      </c>
      <c r="G79" s="61">
        <f t="shared" si="47"/>
        <v>0</v>
      </c>
      <c r="H79" s="61">
        <f t="shared" si="47"/>
        <v>0</v>
      </c>
      <c r="I79" s="61">
        <f t="shared" si="47"/>
        <v>0</v>
      </c>
      <c r="J79" s="61">
        <f t="shared" si="47"/>
        <v>0</v>
      </c>
      <c r="K79" s="61">
        <f t="shared" si="47"/>
        <v>0</v>
      </c>
      <c r="L79" s="61">
        <f t="shared" si="47"/>
        <v>0</v>
      </c>
      <c r="M79" s="61">
        <f t="shared" si="47"/>
        <v>0</v>
      </c>
      <c r="N79" s="61">
        <f t="shared" si="47"/>
        <v>0</v>
      </c>
      <c r="P79" t="str">
        <f t="shared" si="42"/>
        <v>Line of Credit</v>
      </c>
      <c r="Q79" s="196">
        <f>+N79</f>
        <v>0</v>
      </c>
      <c r="R79" s="61">
        <f aca="true" t="shared" si="48" ref="R79:AC79">+R259</f>
        <v>0</v>
      </c>
      <c r="S79" s="61">
        <f t="shared" si="48"/>
        <v>0</v>
      </c>
      <c r="T79" s="61">
        <f t="shared" si="48"/>
        <v>0</v>
      </c>
      <c r="U79" s="61">
        <f t="shared" si="48"/>
        <v>0</v>
      </c>
      <c r="V79" s="61">
        <f t="shared" si="48"/>
        <v>0</v>
      </c>
      <c r="W79" s="61">
        <f t="shared" si="48"/>
        <v>0</v>
      </c>
      <c r="X79" s="61">
        <f t="shared" si="48"/>
        <v>0</v>
      </c>
      <c r="Y79" s="61">
        <f t="shared" si="48"/>
        <v>0</v>
      </c>
      <c r="Z79" s="61">
        <f t="shared" si="48"/>
        <v>0</v>
      </c>
      <c r="AA79" s="61">
        <f t="shared" si="48"/>
        <v>0</v>
      </c>
      <c r="AB79" s="61">
        <f t="shared" si="48"/>
        <v>0</v>
      </c>
      <c r="AC79" s="61">
        <f t="shared" si="48"/>
        <v>0</v>
      </c>
    </row>
    <row r="80" spans="1:29" ht="18">
      <c r="A80" s="161" t="s">
        <v>30</v>
      </c>
      <c r="B80" s="77">
        <f aca="true" t="shared" si="49" ref="B80:N80">SUM(B77:B79)</f>
        <v>0</v>
      </c>
      <c r="C80" s="201">
        <f t="shared" si="49"/>
        <v>0</v>
      </c>
      <c r="D80" s="201">
        <f t="shared" si="49"/>
        <v>0</v>
      </c>
      <c r="E80" s="201">
        <f t="shared" si="49"/>
        <v>0</v>
      </c>
      <c r="F80" s="201">
        <f t="shared" si="49"/>
        <v>0</v>
      </c>
      <c r="G80" s="201">
        <f t="shared" si="49"/>
        <v>0</v>
      </c>
      <c r="H80" s="201">
        <f t="shared" si="49"/>
        <v>0</v>
      </c>
      <c r="I80" s="201">
        <f t="shared" si="49"/>
        <v>0</v>
      </c>
      <c r="J80" s="201">
        <f t="shared" si="49"/>
        <v>0</v>
      </c>
      <c r="K80" s="201">
        <f t="shared" si="49"/>
        <v>0</v>
      </c>
      <c r="L80" s="201">
        <f t="shared" si="49"/>
        <v>0</v>
      </c>
      <c r="M80" s="201">
        <f t="shared" si="49"/>
        <v>0</v>
      </c>
      <c r="N80" s="201">
        <f t="shared" si="49"/>
        <v>0</v>
      </c>
      <c r="P80" s="161" t="str">
        <f t="shared" si="42"/>
        <v>Total Current Liabilities</v>
      </c>
      <c r="Q80" s="77">
        <f aca="true" t="shared" si="50" ref="Q80:AC80">SUM(Q77:Q79)</f>
        <v>0</v>
      </c>
      <c r="R80" s="201">
        <f t="shared" si="50"/>
        <v>0</v>
      </c>
      <c r="S80" s="201">
        <f t="shared" si="50"/>
        <v>0</v>
      </c>
      <c r="T80" s="201">
        <f t="shared" si="50"/>
        <v>0</v>
      </c>
      <c r="U80" s="201">
        <f t="shared" si="50"/>
        <v>0</v>
      </c>
      <c r="V80" s="201">
        <f t="shared" si="50"/>
        <v>0</v>
      </c>
      <c r="W80" s="201">
        <f t="shared" si="50"/>
        <v>0</v>
      </c>
      <c r="X80" s="201">
        <f t="shared" si="50"/>
        <v>0</v>
      </c>
      <c r="Y80" s="201">
        <f t="shared" si="50"/>
        <v>0</v>
      </c>
      <c r="Z80" s="201">
        <f t="shared" si="50"/>
        <v>0</v>
      </c>
      <c r="AA80" s="201">
        <f t="shared" si="50"/>
        <v>0</v>
      </c>
      <c r="AB80" s="201">
        <f t="shared" si="50"/>
        <v>0</v>
      </c>
      <c r="AC80" s="201">
        <f t="shared" si="50"/>
        <v>0</v>
      </c>
    </row>
    <row r="81" spans="1:29" ht="10.5" customHeight="1">
      <c r="A81" s="13"/>
      <c r="B81" s="13"/>
      <c r="C81" s="202"/>
      <c r="D81" s="202"/>
      <c r="E81" s="202"/>
      <c r="F81" s="202"/>
      <c r="G81" s="202"/>
      <c r="H81" s="202"/>
      <c r="I81" s="202"/>
      <c r="J81" s="202"/>
      <c r="K81" s="202"/>
      <c r="L81" s="202"/>
      <c r="M81" s="202"/>
      <c r="N81" s="202"/>
      <c r="P81" s="13"/>
      <c r="Q81" s="13"/>
      <c r="R81" s="202"/>
      <c r="S81" s="202"/>
      <c r="T81" s="202"/>
      <c r="U81" s="202"/>
      <c r="V81" s="202"/>
      <c r="W81" s="202"/>
      <c r="X81" s="202"/>
      <c r="Y81" s="202"/>
      <c r="Z81" s="202"/>
      <c r="AA81" s="202"/>
      <c r="AB81" s="202"/>
      <c r="AC81" s="202"/>
    </row>
    <row r="82" spans="1:29" ht="18">
      <c r="A82" s="35" t="s">
        <v>32</v>
      </c>
      <c r="C82" s="205"/>
      <c r="D82" s="205"/>
      <c r="E82" s="205"/>
      <c r="F82" s="205"/>
      <c r="H82" s="203"/>
      <c r="I82" s="203"/>
      <c r="J82" s="203"/>
      <c r="K82" s="203"/>
      <c r="L82" s="203"/>
      <c r="M82" s="203"/>
      <c r="N82" s="203"/>
      <c r="P82" s="35" t="str">
        <f aca="true" t="shared" si="51" ref="P82:P87">+A82</f>
        <v>Long Term Liabilities</v>
      </c>
      <c r="R82" s="203"/>
      <c r="S82" s="203"/>
      <c r="T82" s="203"/>
      <c r="U82" s="203"/>
      <c r="V82" s="203"/>
      <c r="W82" s="203"/>
      <c r="X82" s="203"/>
      <c r="Y82" s="203"/>
      <c r="Z82" s="203"/>
      <c r="AA82" s="203"/>
      <c r="AB82" s="203"/>
      <c r="AC82" s="203"/>
    </row>
    <row r="83" spans="1:29" ht="18">
      <c r="A83" s="18" t="str">
        <f>+A239</f>
        <v>Revolving Line of Credit</v>
      </c>
      <c r="C83" s="205">
        <f>+C259</f>
        <v>0</v>
      </c>
      <c r="D83" s="205">
        <f aca="true" t="shared" si="52" ref="D83:N83">+D259</f>
        <v>0</v>
      </c>
      <c r="E83" s="205">
        <f t="shared" si="52"/>
        <v>0</v>
      </c>
      <c r="F83" s="205">
        <f t="shared" si="52"/>
        <v>0</v>
      </c>
      <c r="G83" s="205">
        <f t="shared" si="52"/>
        <v>0</v>
      </c>
      <c r="H83" s="205">
        <f t="shared" si="52"/>
        <v>0</v>
      </c>
      <c r="I83" s="205">
        <f t="shared" si="52"/>
        <v>0</v>
      </c>
      <c r="J83" s="205">
        <f t="shared" si="52"/>
        <v>0</v>
      </c>
      <c r="K83" s="205">
        <f t="shared" si="52"/>
        <v>0</v>
      </c>
      <c r="L83" s="205">
        <f t="shared" si="52"/>
        <v>0</v>
      </c>
      <c r="M83" s="205">
        <f t="shared" si="52"/>
        <v>0</v>
      </c>
      <c r="N83" s="205">
        <f t="shared" si="52"/>
        <v>0</v>
      </c>
      <c r="P83" t="str">
        <f t="shared" si="51"/>
        <v>Revolving Line of Credit</v>
      </c>
      <c r="Q83" s="60">
        <f>+N83</f>
        <v>0</v>
      </c>
      <c r="R83" s="205">
        <f>+R259</f>
        <v>0</v>
      </c>
      <c r="S83" s="205">
        <f aca="true" t="shared" si="53" ref="S83:AC83">+S259</f>
        <v>0</v>
      </c>
      <c r="T83" s="205">
        <f t="shared" si="53"/>
        <v>0</v>
      </c>
      <c r="U83" s="205">
        <f t="shared" si="53"/>
        <v>0</v>
      </c>
      <c r="V83" s="205">
        <f t="shared" si="53"/>
        <v>0</v>
      </c>
      <c r="W83" s="205">
        <f t="shared" si="53"/>
        <v>0</v>
      </c>
      <c r="X83" s="205">
        <f t="shared" si="53"/>
        <v>0</v>
      </c>
      <c r="Y83" s="205">
        <f t="shared" si="53"/>
        <v>0</v>
      </c>
      <c r="Z83" s="205">
        <f t="shared" si="53"/>
        <v>0</v>
      </c>
      <c r="AA83" s="205">
        <f t="shared" si="53"/>
        <v>0</v>
      </c>
      <c r="AB83" s="205">
        <f t="shared" si="53"/>
        <v>0</v>
      </c>
      <c r="AC83" s="205">
        <f t="shared" si="53"/>
        <v>0</v>
      </c>
    </row>
    <row r="84" spans="1:29" ht="18">
      <c r="A84" s="18" t="s">
        <v>165</v>
      </c>
      <c r="B84" s="61"/>
      <c r="C84" s="61">
        <f>+C301</f>
        <v>0</v>
      </c>
      <c r="D84" s="61">
        <f aca="true" t="shared" si="54" ref="D84:N84">+D301</f>
        <v>0</v>
      </c>
      <c r="E84" s="61">
        <f t="shared" si="54"/>
        <v>0</v>
      </c>
      <c r="F84" s="61">
        <f t="shared" si="54"/>
        <v>0</v>
      </c>
      <c r="G84" s="61">
        <f t="shared" si="54"/>
        <v>0</v>
      </c>
      <c r="H84" s="61">
        <f t="shared" si="54"/>
        <v>0</v>
      </c>
      <c r="I84" s="61">
        <f t="shared" si="54"/>
        <v>0</v>
      </c>
      <c r="J84" s="61">
        <f t="shared" si="54"/>
        <v>0</v>
      </c>
      <c r="K84" s="61">
        <f t="shared" si="54"/>
        <v>0</v>
      </c>
      <c r="L84" s="61">
        <f t="shared" si="54"/>
        <v>0</v>
      </c>
      <c r="M84" s="61">
        <f t="shared" si="54"/>
        <v>0</v>
      </c>
      <c r="N84" s="61">
        <f t="shared" si="54"/>
        <v>0</v>
      </c>
      <c r="P84" t="str">
        <f t="shared" si="51"/>
        <v>Notes Payable</v>
      </c>
      <c r="Q84" s="61">
        <f>+N84</f>
        <v>0</v>
      </c>
      <c r="R84" s="61">
        <f aca="true" t="shared" si="55" ref="R84:AC84">+R301</f>
        <v>0</v>
      </c>
      <c r="S84" s="61">
        <f t="shared" si="55"/>
        <v>0</v>
      </c>
      <c r="T84" s="61">
        <f t="shared" si="55"/>
        <v>0</v>
      </c>
      <c r="U84" s="61">
        <f t="shared" si="55"/>
        <v>0</v>
      </c>
      <c r="V84" s="61">
        <f t="shared" si="55"/>
        <v>0</v>
      </c>
      <c r="W84" s="61">
        <f t="shared" si="55"/>
        <v>0</v>
      </c>
      <c r="X84" s="61">
        <f t="shared" si="55"/>
        <v>0</v>
      </c>
      <c r="Y84" s="61">
        <f t="shared" si="55"/>
        <v>0</v>
      </c>
      <c r="Z84" s="61">
        <f t="shared" si="55"/>
        <v>0</v>
      </c>
      <c r="AA84" s="61">
        <f t="shared" si="55"/>
        <v>0</v>
      </c>
      <c r="AB84" s="61">
        <f t="shared" si="55"/>
        <v>0</v>
      </c>
      <c r="AC84" s="61">
        <f t="shared" si="55"/>
        <v>0</v>
      </c>
    </row>
    <row r="85" spans="1:29" ht="18">
      <c r="A85" s="18" t="str">
        <f>+A261</f>
        <v>Capital Lease</v>
      </c>
      <c r="B85" s="199">
        <v>0</v>
      </c>
      <c r="C85" s="199">
        <f>+C278</f>
        <v>0</v>
      </c>
      <c r="D85" s="199">
        <f aca="true" t="shared" si="56" ref="D85:N85">+D278</f>
        <v>0</v>
      </c>
      <c r="E85" s="199">
        <f t="shared" si="56"/>
        <v>0</v>
      </c>
      <c r="F85" s="199">
        <f t="shared" si="56"/>
        <v>0</v>
      </c>
      <c r="G85" s="199">
        <f t="shared" si="56"/>
        <v>0</v>
      </c>
      <c r="H85" s="199">
        <f t="shared" si="56"/>
        <v>0</v>
      </c>
      <c r="I85" s="199">
        <f t="shared" si="56"/>
        <v>0</v>
      </c>
      <c r="J85" s="199">
        <f t="shared" si="56"/>
        <v>0</v>
      </c>
      <c r="K85" s="199">
        <f t="shared" si="56"/>
        <v>0</v>
      </c>
      <c r="L85" s="199">
        <f t="shared" si="56"/>
        <v>0</v>
      </c>
      <c r="M85" s="199">
        <f t="shared" si="56"/>
        <v>0</v>
      </c>
      <c r="N85" s="199">
        <f t="shared" si="56"/>
        <v>0</v>
      </c>
      <c r="P85" t="str">
        <f t="shared" si="51"/>
        <v>Capital Lease</v>
      </c>
      <c r="Q85" s="199">
        <f>+N85</f>
        <v>0</v>
      </c>
      <c r="R85" s="199">
        <f aca="true" t="shared" si="57" ref="R85:AC85">+R278</f>
        <v>0</v>
      </c>
      <c r="S85" s="199">
        <f t="shared" si="57"/>
        <v>0</v>
      </c>
      <c r="T85" s="199">
        <f t="shared" si="57"/>
        <v>0</v>
      </c>
      <c r="U85" s="199">
        <f t="shared" si="57"/>
        <v>0</v>
      </c>
      <c r="V85" s="199">
        <f t="shared" si="57"/>
        <v>0</v>
      </c>
      <c r="W85" s="199">
        <f t="shared" si="57"/>
        <v>0</v>
      </c>
      <c r="X85" s="199">
        <f t="shared" si="57"/>
        <v>0</v>
      </c>
      <c r="Y85" s="199">
        <f t="shared" si="57"/>
        <v>0</v>
      </c>
      <c r="Z85" s="199">
        <f t="shared" si="57"/>
        <v>0</v>
      </c>
      <c r="AA85" s="199">
        <f t="shared" si="57"/>
        <v>0</v>
      </c>
      <c r="AB85" s="199">
        <f t="shared" si="57"/>
        <v>0</v>
      </c>
      <c r="AC85" s="199">
        <f t="shared" si="57"/>
        <v>0</v>
      </c>
    </row>
    <row r="86" spans="1:29" ht="18">
      <c r="A86" s="57" t="s">
        <v>6</v>
      </c>
      <c r="B86" s="200">
        <v>0</v>
      </c>
      <c r="C86" s="200">
        <v>0</v>
      </c>
      <c r="D86" s="200">
        <f aca="true" t="shared" si="58" ref="D86:N86">+C86</f>
        <v>0</v>
      </c>
      <c r="E86" s="200">
        <f t="shared" si="58"/>
        <v>0</v>
      </c>
      <c r="F86" s="200">
        <f t="shared" si="58"/>
        <v>0</v>
      </c>
      <c r="G86" s="200">
        <f t="shared" si="58"/>
        <v>0</v>
      </c>
      <c r="H86" s="200">
        <f t="shared" si="58"/>
        <v>0</v>
      </c>
      <c r="I86" s="200">
        <f t="shared" si="58"/>
        <v>0</v>
      </c>
      <c r="J86" s="200">
        <f t="shared" si="58"/>
        <v>0</v>
      </c>
      <c r="K86" s="200">
        <f t="shared" si="58"/>
        <v>0</v>
      </c>
      <c r="L86" s="200">
        <f t="shared" si="58"/>
        <v>0</v>
      </c>
      <c r="M86" s="200">
        <f t="shared" si="58"/>
        <v>0</v>
      </c>
      <c r="N86" s="200">
        <f t="shared" si="58"/>
        <v>0</v>
      </c>
      <c r="P86" t="str">
        <f t="shared" si="51"/>
        <v>Other</v>
      </c>
      <c r="Q86" s="71">
        <f>+N86</f>
        <v>0</v>
      </c>
      <c r="R86" s="200">
        <f aca="true" t="shared" si="59" ref="R86:AC86">+Q86</f>
        <v>0</v>
      </c>
      <c r="S86" s="200">
        <f t="shared" si="59"/>
        <v>0</v>
      </c>
      <c r="T86" s="200">
        <f t="shared" si="59"/>
        <v>0</v>
      </c>
      <c r="U86" s="200">
        <f t="shared" si="59"/>
        <v>0</v>
      </c>
      <c r="V86" s="200">
        <f t="shared" si="59"/>
        <v>0</v>
      </c>
      <c r="W86" s="200">
        <f t="shared" si="59"/>
        <v>0</v>
      </c>
      <c r="X86" s="200">
        <f t="shared" si="59"/>
        <v>0</v>
      </c>
      <c r="Y86" s="200">
        <f t="shared" si="59"/>
        <v>0</v>
      </c>
      <c r="Z86" s="200">
        <f t="shared" si="59"/>
        <v>0</v>
      </c>
      <c r="AA86" s="200">
        <f t="shared" si="59"/>
        <v>0</v>
      </c>
      <c r="AB86" s="200">
        <f t="shared" si="59"/>
        <v>0</v>
      </c>
      <c r="AC86" s="200">
        <f t="shared" si="59"/>
        <v>0</v>
      </c>
    </row>
    <row r="87" spans="1:29" ht="18">
      <c r="A87" s="164" t="s">
        <v>33</v>
      </c>
      <c r="B87" s="77">
        <f>SUM(B83:B86)</f>
        <v>0</v>
      </c>
      <c r="C87" s="201">
        <f>SUM(C83:C86)</f>
        <v>0</v>
      </c>
      <c r="D87" s="201">
        <f aca="true" t="shared" si="60" ref="D87:N87">SUM(D83:D86)</f>
        <v>0</v>
      </c>
      <c r="E87" s="201">
        <f t="shared" si="60"/>
        <v>0</v>
      </c>
      <c r="F87" s="201">
        <f t="shared" si="60"/>
        <v>0</v>
      </c>
      <c r="G87" s="201">
        <f t="shared" si="60"/>
        <v>0</v>
      </c>
      <c r="H87" s="201">
        <f t="shared" si="60"/>
        <v>0</v>
      </c>
      <c r="I87" s="201">
        <f t="shared" si="60"/>
        <v>0</v>
      </c>
      <c r="J87" s="201">
        <f t="shared" si="60"/>
        <v>0</v>
      </c>
      <c r="K87" s="201">
        <f t="shared" si="60"/>
        <v>0</v>
      </c>
      <c r="L87" s="201">
        <f t="shared" si="60"/>
        <v>0</v>
      </c>
      <c r="M87" s="201">
        <f t="shared" si="60"/>
        <v>0</v>
      </c>
      <c r="N87" s="201">
        <f t="shared" si="60"/>
        <v>0</v>
      </c>
      <c r="P87" s="164" t="str">
        <f t="shared" si="51"/>
        <v>Total Long Term Liabilities</v>
      </c>
      <c r="Q87" s="201">
        <f aca="true" t="shared" si="61" ref="Q87:AC87">SUM(Q83:Q86)</f>
        <v>0</v>
      </c>
      <c r="R87" s="201">
        <f t="shared" si="61"/>
        <v>0</v>
      </c>
      <c r="S87" s="201">
        <f t="shared" si="61"/>
        <v>0</v>
      </c>
      <c r="T87" s="201">
        <f t="shared" si="61"/>
        <v>0</v>
      </c>
      <c r="U87" s="201">
        <f t="shared" si="61"/>
        <v>0</v>
      </c>
      <c r="V87" s="201">
        <f t="shared" si="61"/>
        <v>0</v>
      </c>
      <c r="W87" s="201">
        <f t="shared" si="61"/>
        <v>0</v>
      </c>
      <c r="X87" s="201">
        <f t="shared" si="61"/>
        <v>0</v>
      </c>
      <c r="Y87" s="201">
        <f t="shared" si="61"/>
        <v>0</v>
      </c>
      <c r="Z87" s="201">
        <f t="shared" si="61"/>
        <v>0</v>
      </c>
      <c r="AA87" s="201">
        <f t="shared" si="61"/>
        <v>0</v>
      </c>
      <c r="AB87" s="201">
        <f t="shared" si="61"/>
        <v>0</v>
      </c>
      <c r="AC87" s="201">
        <f t="shared" si="61"/>
        <v>0</v>
      </c>
    </row>
    <row r="88" spans="1:29" ht="10.5" customHeight="1">
      <c r="A88" s="166"/>
      <c r="B88" s="13"/>
      <c r="C88" s="202"/>
      <c r="D88" s="202"/>
      <c r="E88" s="202"/>
      <c r="F88" s="202"/>
      <c r="G88" s="202"/>
      <c r="H88" s="202"/>
      <c r="I88" s="202"/>
      <c r="J88" s="202"/>
      <c r="K88" s="202"/>
      <c r="L88" s="202"/>
      <c r="M88" s="202"/>
      <c r="N88" s="202"/>
      <c r="P88" s="166"/>
      <c r="Q88" s="13"/>
      <c r="R88" s="202"/>
      <c r="S88" s="202"/>
      <c r="T88" s="202"/>
      <c r="U88" s="202"/>
      <c r="V88" s="202"/>
      <c r="W88" s="202"/>
      <c r="X88" s="202"/>
      <c r="Y88" s="202"/>
      <c r="Z88" s="202"/>
      <c r="AA88" s="202"/>
      <c r="AB88" s="202"/>
      <c r="AC88" s="202"/>
    </row>
    <row r="89" spans="1:29" ht="18">
      <c r="A89" s="35" t="s">
        <v>34</v>
      </c>
      <c r="B89" s="60">
        <f aca="true" t="shared" si="62" ref="B89:N89">+B80+B87</f>
        <v>0</v>
      </c>
      <c r="C89" s="205">
        <f t="shared" si="62"/>
        <v>0</v>
      </c>
      <c r="D89" s="205">
        <f t="shared" si="62"/>
        <v>0</v>
      </c>
      <c r="E89" s="205">
        <f t="shared" si="62"/>
        <v>0</v>
      </c>
      <c r="F89" s="205">
        <f t="shared" si="62"/>
        <v>0</v>
      </c>
      <c r="G89" s="205">
        <f t="shared" si="62"/>
        <v>0</v>
      </c>
      <c r="H89" s="205">
        <f t="shared" si="62"/>
        <v>0</v>
      </c>
      <c r="I89" s="205">
        <f t="shared" si="62"/>
        <v>0</v>
      </c>
      <c r="J89" s="205">
        <f t="shared" si="62"/>
        <v>0</v>
      </c>
      <c r="K89" s="205">
        <f t="shared" si="62"/>
        <v>0</v>
      </c>
      <c r="L89" s="205">
        <f t="shared" si="62"/>
        <v>0</v>
      </c>
      <c r="M89" s="205">
        <f t="shared" si="62"/>
        <v>0</v>
      </c>
      <c r="N89" s="205">
        <f t="shared" si="62"/>
        <v>0</v>
      </c>
      <c r="P89" s="35" t="str">
        <f>+A89</f>
        <v>Total Liabilities</v>
      </c>
      <c r="Q89" s="60">
        <f aca="true" t="shared" si="63" ref="Q89:AC89">+Q80+Q87</f>
        <v>0</v>
      </c>
      <c r="R89" s="205">
        <f t="shared" si="63"/>
        <v>0</v>
      </c>
      <c r="S89" s="205">
        <f t="shared" si="63"/>
        <v>0</v>
      </c>
      <c r="T89" s="205">
        <f t="shared" si="63"/>
        <v>0</v>
      </c>
      <c r="U89" s="205">
        <f t="shared" si="63"/>
        <v>0</v>
      </c>
      <c r="V89" s="205">
        <f t="shared" si="63"/>
        <v>0</v>
      </c>
      <c r="W89" s="205">
        <f t="shared" si="63"/>
        <v>0</v>
      </c>
      <c r="X89" s="205">
        <f t="shared" si="63"/>
        <v>0</v>
      </c>
      <c r="Y89" s="205">
        <f t="shared" si="63"/>
        <v>0</v>
      </c>
      <c r="Z89" s="205">
        <f t="shared" si="63"/>
        <v>0</v>
      </c>
      <c r="AA89" s="205">
        <f t="shared" si="63"/>
        <v>0</v>
      </c>
      <c r="AB89" s="205">
        <f t="shared" si="63"/>
        <v>0</v>
      </c>
      <c r="AC89" s="205">
        <f t="shared" si="63"/>
        <v>0</v>
      </c>
    </row>
    <row r="90" spans="1:29" ht="10.5" customHeight="1">
      <c r="A90" s="35"/>
      <c r="C90" s="203"/>
      <c r="D90" s="203"/>
      <c r="E90" s="203"/>
      <c r="F90" s="203"/>
      <c r="G90" s="203"/>
      <c r="H90" s="203"/>
      <c r="I90" s="203"/>
      <c r="J90" s="203"/>
      <c r="K90" s="203"/>
      <c r="L90" s="203"/>
      <c r="M90" s="203"/>
      <c r="N90" s="203"/>
      <c r="P90" s="35"/>
      <c r="R90" s="203"/>
      <c r="S90" s="203"/>
      <c r="T90" s="203"/>
      <c r="U90" s="203"/>
      <c r="V90" s="203"/>
      <c r="W90" s="203"/>
      <c r="X90" s="203"/>
      <c r="Y90" s="203"/>
      <c r="Z90" s="203"/>
      <c r="AA90" s="203"/>
      <c r="AB90" s="203"/>
      <c r="AC90" s="203"/>
    </row>
    <row r="91" spans="1:29" ht="20.25">
      <c r="A91" s="56" t="s">
        <v>35</v>
      </c>
      <c r="C91" s="203"/>
      <c r="D91" s="203"/>
      <c r="E91" s="203"/>
      <c r="F91" s="203"/>
      <c r="G91" s="203"/>
      <c r="H91" s="203"/>
      <c r="I91" s="203"/>
      <c r="J91" s="203"/>
      <c r="K91" s="203"/>
      <c r="L91" s="203"/>
      <c r="M91" s="203"/>
      <c r="N91" s="203"/>
      <c r="P91" s="56" t="str">
        <f aca="true" t="shared" si="64" ref="P91:P99">+A91</f>
        <v>EQUITY</v>
      </c>
      <c r="R91" s="203"/>
      <c r="S91" s="203"/>
      <c r="T91" s="203"/>
      <c r="U91" s="203"/>
      <c r="V91" s="203"/>
      <c r="W91" s="203"/>
      <c r="X91" s="203"/>
      <c r="Y91" s="203"/>
      <c r="Z91" s="203"/>
      <c r="AA91" s="203"/>
      <c r="AB91" s="203"/>
      <c r="AC91" s="203"/>
    </row>
    <row r="92" spans="1:29" ht="18">
      <c r="A92" s="18" t="s">
        <v>36</v>
      </c>
      <c r="B92" s="61">
        <v>0</v>
      </c>
      <c r="C92" s="199">
        <f>(C143)+B92</f>
        <v>0</v>
      </c>
      <c r="D92" s="199">
        <f aca="true" t="shared" si="65" ref="D92:N92">(D143)+C92</f>
        <v>0</v>
      </c>
      <c r="E92" s="199">
        <f t="shared" si="65"/>
        <v>0</v>
      </c>
      <c r="F92" s="199">
        <f t="shared" si="65"/>
        <v>0</v>
      </c>
      <c r="G92" s="199">
        <f t="shared" si="65"/>
        <v>0</v>
      </c>
      <c r="H92" s="199">
        <f t="shared" si="65"/>
        <v>0</v>
      </c>
      <c r="I92" s="199">
        <f t="shared" si="65"/>
        <v>0</v>
      </c>
      <c r="J92" s="199">
        <f t="shared" si="65"/>
        <v>0</v>
      </c>
      <c r="K92" s="199">
        <f t="shared" si="65"/>
        <v>0</v>
      </c>
      <c r="L92" s="199">
        <f t="shared" si="65"/>
        <v>0</v>
      </c>
      <c r="M92" s="199">
        <f t="shared" si="65"/>
        <v>0</v>
      </c>
      <c r="N92" s="199">
        <f t="shared" si="65"/>
        <v>0</v>
      </c>
      <c r="P92" t="str">
        <f t="shared" si="64"/>
        <v>Common Stock</v>
      </c>
      <c r="Q92" s="61">
        <f aca="true" t="shared" si="66" ref="Q92:Q98">+N92</f>
        <v>0</v>
      </c>
      <c r="R92" s="199">
        <f>R143+Q92</f>
        <v>0</v>
      </c>
      <c r="S92" s="199">
        <f aca="true" t="shared" si="67" ref="S92:AC92">S143+R92</f>
        <v>0</v>
      </c>
      <c r="T92" s="199">
        <f t="shared" si="67"/>
        <v>0</v>
      </c>
      <c r="U92" s="199">
        <f t="shared" si="67"/>
        <v>0</v>
      </c>
      <c r="V92" s="199">
        <f t="shared" si="67"/>
        <v>0</v>
      </c>
      <c r="W92" s="199">
        <f t="shared" si="67"/>
        <v>0</v>
      </c>
      <c r="X92" s="199">
        <f t="shared" si="67"/>
        <v>0</v>
      </c>
      <c r="Y92" s="199">
        <f t="shared" si="67"/>
        <v>0</v>
      </c>
      <c r="Z92" s="199">
        <f t="shared" si="67"/>
        <v>0</v>
      </c>
      <c r="AA92" s="199">
        <f t="shared" si="67"/>
        <v>0</v>
      </c>
      <c r="AB92" s="199">
        <f t="shared" si="67"/>
        <v>0</v>
      </c>
      <c r="AC92" s="199">
        <f t="shared" si="67"/>
        <v>0</v>
      </c>
    </row>
    <row r="93" spans="1:29" ht="18">
      <c r="A93" t="s">
        <v>405</v>
      </c>
      <c r="B93" s="61">
        <v>0</v>
      </c>
      <c r="C93" s="199">
        <f>SUM(C139)+B93</f>
        <v>0</v>
      </c>
      <c r="D93" s="199">
        <f aca="true" t="shared" si="68" ref="D93:N93">SUM(D139)+C93</f>
        <v>0</v>
      </c>
      <c r="E93" s="199">
        <f t="shared" si="68"/>
        <v>0</v>
      </c>
      <c r="F93" s="199">
        <f t="shared" si="68"/>
        <v>0</v>
      </c>
      <c r="G93" s="199">
        <f t="shared" si="68"/>
        <v>0</v>
      </c>
      <c r="H93" s="199">
        <f t="shared" si="68"/>
        <v>0</v>
      </c>
      <c r="I93" s="199">
        <f t="shared" si="68"/>
        <v>0</v>
      </c>
      <c r="J93" s="199">
        <f t="shared" si="68"/>
        <v>0</v>
      </c>
      <c r="K93" s="199">
        <f t="shared" si="68"/>
        <v>0</v>
      </c>
      <c r="L93" s="199">
        <f t="shared" si="68"/>
        <v>0</v>
      </c>
      <c r="M93" s="199">
        <f t="shared" si="68"/>
        <v>0</v>
      </c>
      <c r="N93" s="199">
        <f t="shared" si="68"/>
        <v>0</v>
      </c>
      <c r="P93" t="str">
        <f t="shared" si="64"/>
        <v>Additional Paid-in Capital</v>
      </c>
      <c r="Q93" s="61">
        <f t="shared" si="66"/>
        <v>0</v>
      </c>
      <c r="R93" s="199">
        <f>+Q93</f>
        <v>0</v>
      </c>
      <c r="S93" s="199">
        <f aca="true" t="shared" si="69" ref="S93:AC93">SUM(S139)+R93</f>
        <v>0</v>
      </c>
      <c r="T93" s="199">
        <f t="shared" si="69"/>
        <v>0</v>
      </c>
      <c r="U93" s="199">
        <f t="shared" si="69"/>
        <v>0</v>
      </c>
      <c r="V93" s="199">
        <f t="shared" si="69"/>
        <v>0</v>
      </c>
      <c r="W93" s="199">
        <f t="shared" si="69"/>
        <v>0</v>
      </c>
      <c r="X93" s="199">
        <f t="shared" si="69"/>
        <v>0</v>
      </c>
      <c r="Y93" s="199">
        <f t="shared" si="69"/>
        <v>0</v>
      </c>
      <c r="Z93" s="199">
        <f t="shared" si="69"/>
        <v>0</v>
      </c>
      <c r="AA93" s="199">
        <f t="shared" si="69"/>
        <v>0</v>
      </c>
      <c r="AB93" s="199">
        <f t="shared" si="69"/>
        <v>0</v>
      </c>
      <c r="AC93" s="199">
        <f t="shared" si="69"/>
        <v>0</v>
      </c>
    </row>
    <row r="94" spans="1:29" ht="18">
      <c r="A94" s="18" t="str">
        <f>+A140</f>
        <v>Preferred Stock - Series A</v>
      </c>
      <c r="B94" s="61"/>
      <c r="C94" s="199">
        <f>SUM(C140)+B94</f>
        <v>0</v>
      </c>
      <c r="D94" s="199">
        <f aca="true" t="shared" si="70" ref="D94:N94">SUM(D140)+C94</f>
        <v>0</v>
      </c>
      <c r="E94" s="199">
        <f t="shared" si="70"/>
        <v>0</v>
      </c>
      <c r="F94" s="199">
        <f t="shared" si="70"/>
        <v>0</v>
      </c>
      <c r="G94" s="199">
        <f t="shared" si="70"/>
        <v>0</v>
      </c>
      <c r="H94" s="199">
        <f t="shared" si="70"/>
        <v>0</v>
      </c>
      <c r="I94" s="199">
        <f t="shared" si="70"/>
        <v>0</v>
      </c>
      <c r="J94" s="199">
        <f t="shared" si="70"/>
        <v>0</v>
      </c>
      <c r="K94" s="199">
        <f t="shared" si="70"/>
        <v>0</v>
      </c>
      <c r="L94" s="199">
        <f t="shared" si="70"/>
        <v>0</v>
      </c>
      <c r="M94" s="199">
        <f t="shared" si="70"/>
        <v>0</v>
      </c>
      <c r="N94" s="199">
        <f t="shared" si="70"/>
        <v>0</v>
      </c>
      <c r="P94" t="str">
        <f t="shared" si="64"/>
        <v>Preferred Stock - Series A</v>
      </c>
      <c r="Q94" s="61">
        <f t="shared" si="66"/>
        <v>0</v>
      </c>
      <c r="R94" s="199">
        <f>+Q94</f>
        <v>0</v>
      </c>
      <c r="S94" s="199">
        <f aca="true" t="shared" si="71" ref="S94:AC94">SUM(S140)+R94</f>
        <v>0</v>
      </c>
      <c r="T94" s="199">
        <f t="shared" si="71"/>
        <v>0</v>
      </c>
      <c r="U94" s="199">
        <f t="shared" si="71"/>
        <v>0</v>
      </c>
      <c r="V94" s="199">
        <f t="shared" si="71"/>
        <v>0</v>
      </c>
      <c r="W94" s="199">
        <f t="shared" si="71"/>
        <v>0</v>
      </c>
      <c r="X94" s="199">
        <f t="shared" si="71"/>
        <v>0</v>
      </c>
      <c r="Y94" s="199">
        <f t="shared" si="71"/>
        <v>0</v>
      </c>
      <c r="Z94" s="199">
        <f t="shared" si="71"/>
        <v>0</v>
      </c>
      <c r="AA94" s="199">
        <f t="shared" si="71"/>
        <v>0</v>
      </c>
      <c r="AB94" s="199">
        <f t="shared" si="71"/>
        <v>0</v>
      </c>
      <c r="AC94" s="199">
        <f t="shared" si="71"/>
        <v>0</v>
      </c>
    </row>
    <row r="95" spans="1:29" ht="18">
      <c r="A95" s="18" t="str">
        <f>+A141</f>
        <v>Preferred Stock - Series B</v>
      </c>
      <c r="B95" s="61"/>
      <c r="C95" s="199">
        <f>SUM(C141)+B95</f>
        <v>0</v>
      </c>
      <c r="D95" s="199">
        <f aca="true" t="shared" si="72" ref="D95:N95">SUM(D141)+C95</f>
        <v>0</v>
      </c>
      <c r="E95" s="199">
        <f t="shared" si="72"/>
        <v>0</v>
      </c>
      <c r="F95" s="199">
        <f t="shared" si="72"/>
        <v>0</v>
      </c>
      <c r="G95" s="199">
        <f t="shared" si="72"/>
        <v>0</v>
      </c>
      <c r="H95" s="199">
        <f t="shared" si="72"/>
        <v>0</v>
      </c>
      <c r="I95" s="199">
        <f t="shared" si="72"/>
        <v>0</v>
      </c>
      <c r="J95" s="199">
        <f t="shared" si="72"/>
        <v>0</v>
      </c>
      <c r="K95" s="199">
        <f t="shared" si="72"/>
        <v>0</v>
      </c>
      <c r="L95" s="199">
        <f t="shared" si="72"/>
        <v>0</v>
      </c>
      <c r="M95" s="199">
        <f t="shared" si="72"/>
        <v>0</v>
      </c>
      <c r="N95" s="199">
        <f t="shared" si="72"/>
        <v>0</v>
      </c>
      <c r="P95" t="str">
        <f t="shared" si="64"/>
        <v>Preferred Stock - Series B</v>
      </c>
      <c r="Q95" s="61">
        <f t="shared" si="66"/>
        <v>0</v>
      </c>
      <c r="R95" s="199">
        <f>+Q95</f>
        <v>0</v>
      </c>
      <c r="S95" s="199">
        <f aca="true" t="shared" si="73" ref="S95:AC95">SUM(S141)+R95</f>
        <v>0</v>
      </c>
      <c r="T95" s="199">
        <f t="shared" si="73"/>
        <v>0</v>
      </c>
      <c r="U95" s="199">
        <f t="shared" si="73"/>
        <v>0</v>
      </c>
      <c r="V95" s="199">
        <f t="shared" si="73"/>
        <v>0</v>
      </c>
      <c r="W95" s="199">
        <f t="shared" si="73"/>
        <v>0</v>
      </c>
      <c r="X95" s="199">
        <f t="shared" si="73"/>
        <v>0</v>
      </c>
      <c r="Y95" s="199">
        <f t="shared" si="73"/>
        <v>0</v>
      </c>
      <c r="Z95" s="199">
        <f t="shared" si="73"/>
        <v>0</v>
      </c>
      <c r="AA95" s="199">
        <f t="shared" si="73"/>
        <v>0</v>
      </c>
      <c r="AB95" s="199">
        <f t="shared" si="73"/>
        <v>0</v>
      </c>
      <c r="AC95" s="199">
        <f t="shared" si="73"/>
        <v>0</v>
      </c>
    </row>
    <row r="96" spans="1:29" ht="18">
      <c r="A96" s="18" t="str">
        <f>+A142</f>
        <v>Preferred Stock - Series C</v>
      </c>
      <c r="C96" s="199">
        <f>SUM(C142)+B96</f>
        <v>0</v>
      </c>
      <c r="D96" s="199">
        <f aca="true" t="shared" si="74" ref="D96:N96">SUM(D142)+C96</f>
        <v>0</v>
      </c>
      <c r="E96" s="199">
        <f t="shared" si="74"/>
        <v>0</v>
      </c>
      <c r="F96" s="199">
        <f t="shared" si="74"/>
        <v>0</v>
      </c>
      <c r="G96" s="199">
        <f t="shared" si="74"/>
        <v>0</v>
      </c>
      <c r="H96" s="199">
        <f t="shared" si="74"/>
        <v>0</v>
      </c>
      <c r="I96" s="199">
        <f t="shared" si="74"/>
        <v>0</v>
      </c>
      <c r="J96" s="199">
        <f t="shared" si="74"/>
        <v>0</v>
      </c>
      <c r="K96" s="199">
        <f t="shared" si="74"/>
        <v>0</v>
      </c>
      <c r="L96" s="199">
        <f t="shared" si="74"/>
        <v>0</v>
      </c>
      <c r="M96" s="199">
        <f t="shared" si="74"/>
        <v>0</v>
      </c>
      <c r="N96" s="199">
        <f t="shared" si="74"/>
        <v>0</v>
      </c>
      <c r="P96" t="str">
        <f t="shared" si="64"/>
        <v>Preferred Stock - Series C</v>
      </c>
      <c r="Q96" s="61">
        <f t="shared" si="66"/>
        <v>0</v>
      </c>
      <c r="R96" s="199">
        <f>+Q96</f>
        <v>0</v>
      </c>
      <c r="S96" s="199">
        <f aca="true" t="shared" si="75" ref="S96:AC96">SUM(S142)+R96</f>
        <v>0</v>
      </c>
      <c r="T96" s="199">
        <f t="shared" si="75"/>
        <v>0</v>
      </c>
      <c r="U96" s="199">
        <f t="shared" si="75"/>
        <v>0</v>
      </c>
      <c r="V96" s="199">
        <f t="shared" si="75"/>
        <v>0</v>
      </c>
      <c r="W96" s="199">
        <f t="shared" si="75"/>
        <v>0</v>
      </c>
      <c r="X96" s="199">
        <f t="shared" si="75"/>
        <v>0</v>
      </c>
      <c r="Y96" s="199">
        <f t="shared" si="75"/>
        <v>0</v>
      </c>
      <c r="Z96" s="199">
        <f t="shared" si="75"/>
        <v>0</v>
      </c>
      <c r="AA96" s="199">
        <f t="shared" si="75"/>
        <v>0</v>
      </c>
      <c r="AB96" s="199">
        <f t="shared" si="75"/>
        <v>0</v>
      </c>
      <c r="AC96" s="199">
        <f t="shared" si="75"/>
        <v>0</v>
      </c>
    </row>
    <row r="97" spans="1:29" ht="18">
      <c r="A97" t="s">
        <v>37</v>
      </c>
      <c r="B97" s="61">
        <v>0</v>
      </c>
      <c r="C97" s="199">
        <f>+B97+B98</f>
        <v>0</v>
      </c>
      <c r="D97" s="199">
        <f>+C97</f>
        <v>0</v>
      </c>
      <c r="E97" s="199">
        <f aca="true" t="shared" si="76" ref="E97:N97">+D97</f>
        <v>0</v>
      </c>
      <c r="F97" s="199">
        <f t="shared" si="76"/>
        <v>0</v>
      </c>
      <c r="G97" s="199">
        <f t="shared" si="76"/>
        <v>0</v>
      </c>
      <c r="H97" s="199">
        <f t="shared" si="76"/>
        <v>0</v>
      </c>
      <c r="I97" s="199">
        <f t="shared" si="76"/>
        <v>0</v>
      </c>
      <c r="J97" s="199">
        <f t="shared" si="76"/>
        <v>0</v>
      </c>
      <c r="K97" s="199">
        <f t="shared" si="76"/>
        <v>0</v>
      </c>
      <c r="L97" s="199">
        <f t="shared" si="76"/>
        <v>0</v>
      </c>
      <c r="M97" s="199">
        <f t="shared" si="76"/>
        <v>0</v>
      </c>
      <c r="N97" s="199">
        <f t="shared" si="76"/>
        <v>0</v>
      </c>
      <c r="P97" t="str">
        <f t="shared" si="64"/>
        <v>Retained Earnings</v>
      </c>
      <c r="Q97" s="61">
        <f t="shared" si="66"/>
        <v>0</v>
      </c>
      <c r="R97" s="199">
        <f>+Q98+Q97</f>
        <v>0</v>
      </c>
      <c r="S97" s="199">
        <f aca="true" t="shared" si="77" ref="S97:AC97">+R97</f>
        <v>0</v>
      </c>
      <c r="T97" s="199">
        <f t="shared" si="77"/>
        <v>0</v>
      </c>
      <c r="U97" s="199">
        <f t="shared" si="77"/>
        <v>0</v>
      </c>
      <c r="V97" s="199">
        <f t="shared" si="77"/>
        <v>0</v>
      </c>
      <c r="W97" s="199">
        <f t="shared" si="77"/>
        <v>0</v>
      </c>
      <c r="X97" s="199">
        <f t="shared" si="77"/>
        <v>0</v>
      </c>
      <c r="Y97" s="199">
        <f t="shared" si="77"/>
        <v>0</v>
      </c>
      <c r="Z97" s="199">
        <f t="shared" si="77"/>
        <v>0</v>
      </c>
      <c r="AA97" s="199">
        <f t="shared" si="77"/>
        <v>0</v>
      </c>
      <c r="AB97" s="199">
        <f t="shared" si="77"/>
        <v>0</v>
      </c>
      <c r="AC97" s="199">
        <f t="shared" si="77"/>
        <v>0</v>
      </c>
    </row>
    <row r="98" spans="1:29" ht="18">
      <c r="A98" s="40" t="s">
        <v>15</v>
      </c>
      <c r="B98" s="71">
        <v>0</v>
      </c>
      <c r="C98" s="200">
        <f>+C47</f>
        <v>0</v>
      </c>
      <c r="D98" s="200">
        <f aca="true" t="shared" si="78" ref="D98:N98">+D47+C98</f>
        <v>0</v>
      </c>
      <c r="E98" s="200">
        <f t="shared" si="78"/>
        <v>0</v>
      </c>
      <c r="F98" s="200">
        <f t="shared" si="78"/>
        <v>0</v>
      </c>
      <c r="G98" s="200">
        <f t="shared" si="78"/>
        <v>0</v>
      </c>
      <c r="H98" s="200">
        <f t="shared" si="78"/>
        <v>0</v>
      </c>
      <c r="I98" s="200">
        <f t="shared" si="78"/>
        <v>0</v>
      </c>
      <c r="J98" s="200">
        <f t="shared" si="78"/>
        <v>0</v>
      </c>
      <c r="K98" s="200">
        <f t="shared" si="78"/>
        <v>0</v>
      </c>
      <c r="L98" s="200">
        <f t="shared" si="78"/>
        <v>0</v>
      </c>
      <c r="M98" s="200">
        <f t="shared" si="78"/>
        <v>0</v>
      </c>
      <c r="N98" s="200">
        <f t="shared" si="78"/>
        <v>0</v>
      </c>
      <c r="P98" t="str">
        <f t="shared" si="64"/>
        <v>Net Income</v>
      </c>
      <c r="Q98" s="71">
        <f t="shared" si="66"/>
        <v>0</v>
      </c>
      <c r="R98" s="200">
        <f>+R47</f>
        <v>0</v>
      </c>
      <c r="S98" s="200">
        <f aca="true" t="shared" si="79" ref="S98:AC98">+S47+R98</f>
        <v>0</v>
      </c>
      <c r="T98" s="200">
        <f t="shared" si="79"/>
        <v>0</v>
      </c>
      <c r="U98" s="200">
        <f t="shared" si="79"/>
        <v>0</v>
      </c>
      <c r="V98" s="200">
        <f t="shared" si="79"/>
        <v>0</v>
      </c>
      <c r="W98" s="200">
        <f t="shared" si="79"/>
        <v>0</v>
      </c>
      <c r="X98" s="200">
        <f t="shared" si="79"/>
        <v>0</v>
      </c>
      <c r="Y98" s="200">
        <f t="shared" si="79"/>
        <v>0</v>
      </c>
      <c r="Z98" s="200">
        <f t="shared" si="79"/>
        <v>0</v>
      </c>
      <c r="AA98" s="200">
        <f t="shared" si="79"/>
        <v>0</v>
      </c>
      <c r="AB98" s="200">
        <f t="shared" si="79"/>
        <v>0</v>
      </c>
      <c r="AC98" s="200">
        <f t="shared" si="79"/>
        <v>0</v>
      </c>
    </row>
    <row r="99" spans="1:29" ht="18">
      <c r="A99" s="161" t="s">
        <v>38</v>
      </c>
      <c r="B99" s="62">
        <f aca="true" t="shared" si="80" ref="B99:N99">SUM(B92:B98)</f>
        <v>0</v>
      </c>
      <c r="C99" s="206">
        <f t="shared" si="80"/>
        <v>0</v>
      </c>
      <c r="D99" s="206">
        <f t="shared" si="80"/>
        <v>0</v>
      </c>
      <c r="E99" s="206">
        <f t="shared" si="80"/>
        <v>0</v>
      </c>
      <c r="F99" s="206">
        <f t="shared" si="80"/>
        <v>0</v>
      </c>
      <c r="G99" s="206">
        <f t="shared" si="80"/>
        <v>0</v>
      </c>
      <c r="H99" s="206">
        <f t="shared" si="80"/>
        <v>0</v>
      </c>
      <c r="I99" s="206">
        <f t="shared" si="80"/>
        <v>0</v>
      </c>
      <c r="J99" s="206">
        <f t="shared" si="80"/>
        <v>0</v>
      </c>
      <c r="K99" s="206">
        <f t="shared" si="80"/>
        <v>0</v>
      </c>
      <c r="L99" s="206">
        <f t="shared" si="80"/>
        <v>0</v>
      </c>
      <c r="M99" s="206">
        <f t="shared" si="80"/>
        <v>0</v>
      </c>
      <c r="N99" s="206">
        <f t="shared" si="80"/>
        <v>0</v>
      </c>
      <c r="P99" s="161" t="str">
        <f t="shared" si="64"/>
        <v>Total Equity</v>
      </c>
      <c r="Q99" s="62">
        <f aca="true" t="shared" si="81" ref="Q99:AC99">SUM(Q92:Q98)</f>
        <v>0</v>
      </c>
      <c r="R99" s="206">
        <f t="shared" si="81"/>
        <v>0</v>
      </c>
      <c r="S99" s="206">
        <f t="shared" si="81"/>
        <v>0</v>
      </c>
      <c r="T99" s="206">
        <f t="shared" si="81"/>
        <v>0</v>
      </c>
      <c r="U99" s="206">
        <f t="shared" si="81"/>
        <v>0</v>
      </c>
      <c r="V99" s="206">
        <f t="shared" si="81"/>
        <v>0</v>
      </c>
      <c r="W99" s="206">
        <f t="shared" si="81"/>
        <v>0</v>
      </c>
      <c r="X99" s="206">
        <f t="shared" si="81"/>
        <v>0</v>
      </c>
      <c r="Y99" s="206">
        <f t="shared" si="81"/>
        <v>0</v>
      </c>
      <c r="Z99" s="206">
        <f t="shared" si="81"/>
        <v>0</v>
      </c>
      <c r="AA99" s="206">
        <f t="shared" si="81"/>
        <v>0</v>
      </c>
      <c r="AB99" s="206">
        <f t="shared" si="81"/>
        <v>0</v>
      </c>
      <c r="AC99" s="206">
        <f t="shared" si="81"/>
        <v>0</v>
      </c>
    </row>
    <row r="100" spans="1:29" ht="18">
      <c r="A100" s="13"/>
      <c r="B100" s="13"/>
      <c r="C100" s="209"/>
      <c r="D100" s="209"/>
      <c r="E100" s="209"/>
      <c r="F100" s="209"/>
      <c r="G100" s="209"/>
      <c r="H100" s="209"/>
      <c r="I100" s="209"/>
      <c r="J100" s="209"/>
      <c r="K100" s="209"/>
      <c r="L100" s="209"/>
      <c r="M100" s="209"/>
      <c r="N100" s="209"/>
      <c r="P100" s="13"/>
      <c r="Q100" s="13"/>
      <c r="R100" s="209"/>
      <c r="S100" s="209"/>
      <c r="T100" s="209"/>
      <c r="U100" s="209"/>
      <c r="V100" s="209"/>
      <c r="W100" s="209"/>
      <c r="X100" s="209"/>
      <c r="Y100" s="209"/>
      <c r="Z100" s="209"/>
      <c r="AA100" s="209"/>
      <c r="AB100" s="209"/>
      <c r="AC100" s="209"/>
    </row>
    <row r="101" spans="1:29" ht="18.75" thickBot="1">
      <c r="A101" t="s">
        <v>39</v>
      </c>
      <c r="B101" s="243">
        <f aca="true" t="shared" si="82" ref="B101:N101">+B89+B99</f>
        <v>0</v>
      </c>
      <c r="C101" s="220">
        <f t="shared" si="82"/>
        <v>0</v>
      </c>
      <c r="D101" s="221">
        <f t="shared" si="82"/>
        <v>0</v>
      </c>
      <c r="E101" s="221">
        <f t="shared" si="82"/>
        <v>0</v>
      </c>
      <c r="F101" s="221">
        <f t="shared" si="82"/>
        <v>0</v>
      </c>
      <c r="G101" s="221">
        <f t="shared" si="82"/>
        <v>0</v>
      </c>
      <c r="H101" s="221">
        <f t="shared" si="82"/>
        <v>0</v>
      </c>
      <c r="I101" s="221">
        <f t="shared" si="82"/>
        <v>0</v>
      </c>
      <c r="J101" s="221">
        <f t="shared" si="82"/>
        <v>0</v>
      </c>
      <c r="K101" s="221">
        <f t="shared" si="82"/>
        <v>0</v>
      </c>
      <c r="L101" s="221">
        <f t="shared" si="82"/>
        <v>0</v>
      </c>
      <c r="M101" s="221">
        <f t="shared" si="82"/>
        <v>0</v>
      </c>
      <c r="N101" s="222">
        <f t="shared" si="82"/>
        <v>0</v>
      </c>
      <c r="P101" t="str">
        <f>+A101</f>
        <v>Total Liabilities &amp; Equity</v>
      </c>
      <c r="Q101" s="243">
        <f aca="true" t="shared" si="83" ref="Q101:AC101">+Q89+Q99</f>
        <v>0</v>
      </c>
      <c r="R101" s="220">
        <f t="shared" si="83"/>
        <v>0</v>
      </c>
      <c r="S101" s="221">
        <f t="shared" si="83"/>
        <v>0</v>
      </c>
      <c r="T101" s="221">
        <f t="shared" si="83"/>
        <v>0</v>
      </c>
      <c r="U101" s="221">
        <f t="shared" si="83"/>
        <v>0</v>
      </c>
      <c r="V101" s="221">
        <f t="shared" si="83"/>
        <v>0</v>
      </c>
      <c r="W101" s="221">
        <f t="shared" si="83"/>
        <v>0</v>
      </c>
      <c r="X101" s="221">
        <f t="shared" si="83"/>
        <v>0</v>
      </c>
      <c r="Y101" s="221">
        <f t="shared" si="83"/>
        <v>0</v>
      </c>
      <c r="Z101" s="221">
        <f t="shared" si="83"/>
        <v>0</v>
      </c>
      <c r="AA101" s="221">
        <f t="shared" si="83"/>
        <v>0</v>
      </c>
      <c r="AB101" s="221">
        <f t="shared" si="83"/>
        <v>0</v>
      </c>
      <c r="AC101" s="222">
        <f t="shared" si="83"/>
        <v>0</v>
      </c>
    </row>
    <row r="102" spans="1:29" ht="18.75" thickTop="1">
      <c r="A102" s="63" t="s">
        <v>40</v>
      </c>
      <c r="B102" s="60">
        <f aca="true" t="shared" si="84" ref="B102:N102">+B72-B101</f>
        <v>0</v>
      </c>
      <c r="C102" s="60">
        <f t="shared" si="84"/>
        <v>0</v>
      </c>
      <c r="D102" s="60">
        <f t="shared" si="84"/>
        <v>0</v>
      </c>
      <c r="E102" s="60">
        <f t="shared" si="84"/>
        <v>0</v>
      </c>
      <c r="F102" s="60">
        <f t="shared" si="84"/>
        <v>0</v>
      </c>
      <c r="G102" s="60">
        <f t="shared" si="84"/>
        <v>0</v>
      </c>
      <c r="H102" s="60">
        <f t="shared" si="84"/>
        <v>0</v>
      </c>
      <c r="I102" s="60">
        <f t="shared" si="84"/>
        <v>0</v>
      </c>
      <c r="J102" s="60">
        <f t="shared" si="84"/>
        <v>0</v>
      </c>
      <c r="K102" s="60">
        <f t="shared" si="84"/>
        <v>0</v>
      </c>
      <c r="L102" s="60">
        <f t="shared" si="84"/>
        <v>0</v>
      </c>
      <c r="M102" s="60">
        <f t="shared" si="84"/>
        <v>0</v>
      </c>
      <c r="N102" s="60">
        <f t="shared" si="84"/>
        <v>0</v>
      </c>
      <c r="P102" s="63" t="s">
        <v>40</v>
      </c>
      <c r="Q102" s="60">
        <f aca="true" t="shared" si="85" ref="Q102:AC102">+Q72-Q101</f>
        <v>0</v>
      </c>
      <c r="R102" s="60">
        <f t="shared" si="85"/>
        <v>0</v>
      </c>
      <c r="S102" s="60">
        <f t="shared" si="85"/>
        <v>0</v>
      </c>
      <c r="T102" s="60">
        <f t="shared" si="85"/>
        <v>0</v>
      </c>
      <c r="U102" s="60">
        <f t="shared" si="85"/>
        <v>0</v>
      </c>
      <c r="V102" s="60">
        <f t="shared" si="85"/>
        <v>0</v>
      </c>
      <c r="W102" s="60">
        <f t="shared" si="85"/>
        <v>0</v>
      </c>
      <c r="X102" s="60">
        <f t="shared" si="85"/>
        <v>0</v>
      </c>
      <c r="Y102" s="60">
        <f t="shared" si="85"/>
        <v>0</v>
      </c>
      <c r="Z102" s="60">
        <f t="shared" si="85"/>
        <v>0</v>
      </c>
      <c r="AA102" s="60">
        <f t="shared" si="85"/>
        <v>0</v>
      </c>
      <c r="AB102" s="60">
        <f t="shared" si="85"/>
        <v>0</v>
      </c>
      <c r="AC102" s="60">
        <f t="shared" si="85"/>
        <v>0</v>
      </c>
    </row>
    <row r="103" spans="1:30" ht="18">
      <c r="A103" s="24" t="str">
        <f>+A1</f>
        <v>MyCo</v>
      </c>
      <c r="B103" s="19"/>
      <c r="C103" s="19"/>
      <c r="D103" s="19"/>
      <c r="E103" s="19"/>
      <c r="F103" s="19"/>
      <c r="G103" s="19"/>
      <c r="H103" s="19"/>
      <c r="I103" s="19"/>
      <c r="J103" s="19"/>
      <c r="K103" s="19"/>
      <c r="L103" s="19"/>
      <c r="M103" s="19"/>
      <c r="N103" s="19"/>
      <c r="O103" s="64" t="str">
        <f>+O$1</f>
        <v>Draft 1.0</v>
      </c>
      <c r="P103" s="24" t="str">
        <f>+P1</f>
        <v>MyCo</v>
      </c>
      <c r="Q103" s="19"/>
      <c r="R103" s="19"/>
      <c r="S103" s="19"/>
      <c r="T103" s="19"/>
      <c r="U103" s="19"/>
      <c r="V103" s="19"/>
      <c r="W103" s="19"/>
      <c r="X103" s="19"/>
      <c r="Y103" s="19"/>
      <c r="Z103" s="19"/>
      <c r="AA103" s="19"/>
      <c r="AB103" s="19"/>
      <c r="AC103" s="19"/>
      <c r="AD103" s="64" t="str">
        <f>+AD$1</f>
        <v>Draft 1.0</v>
      </c>
    </row>
    <row r="104" spans="1:30" ht="23.25">
      <c r="A104" s="20" t="s">
        <v>41</v>
      </c>
      <c r="B104" s="19"/>
      <c r="C104" s="19"/>
      <c r="D104" s="19"/>
      <c r="E104" s="19"/>
      <c r="F104" s="19"/>
      <c r="G104" s="19"/>
      <c r="H104" s="19"/>
      <c r="I104" s="19"/>
      <c r="J104" s="19"/>
      <c r="K104" s="19"/>
      <c r="L104" s="19"/>
      <c r="M104" s="19"/>
      <c r="N104" s="25"/>
      <c r="O104" s="19"/>
      <c r="P104" s="20" t="s">
        <v>41</v>
      </c>
      <c r="Q104" s="19"/>
      <c r="R104" s="19"/>
      <c r="S104" s="19"/>
      <c r="T104" s="19"/>
      <c r="U104" s="19"/>
      <c r="V104" s="19"/>
      <c r="W104" s="19"/>
      <c r="X104" s="19"/>
      <c r="Y104" s="19"/>
      <c r="Z104" s="19"/>
      <c r="AA104" s="19"/>
      <c r="AB104" s="19"/>
      <c r="AC104" s="25"/>
      <c r="AD104" s="19"/>
    </row>
    <row r="105" spans="1:29" ht="18">
      <c r="A105" s="21">
        <f>+$A$3</f>
        <v>2022</v>
      </c>
      <c r="B105" s="18"/>
      <c r="C105" s="619">
        <f>IF(ISBLANK(Headcount!C$3),"",Headcount!C$3)</f>
      </c>
      <c r="D105" s="619">
        <f>IF(ISBLANK(Headcount!D$3),"",Headcount!D$3)</f>
      </c>
      <c r="E105" s="619">
        <f>IF(ISBLANK(Headcount!E$3),"",Headcount!E$3)</f>
      </c>
      <c r="F105" s="619">
        <f>IF(ISBLANK(Headcount!F$3),"",Headcount!F$3)</f>
      </c>
      <c r="G105" s="619">
        <f>IF(ISBLANK(Headcount!G$3),"",Headcount!G$3)</f>
      </c>
      <c r="H105" s="619">
        <f>IF(ISBLANK(Headcount!H$3),"",Headcount!H$3)</f>
      </c>
      <c r="I105" s="619">
        <f>IF(ISBLANK(Headcount!I$3),"",Headcount!I$3)</f>
      </c>
      <c r="J105" s="619">
        <f>IF(ISBLANK(Headcount!J$3),"",Headcount!J$3)</f>
      </c>
      <c r="K105" s="619">
        <f>IF(ISBLANK(Headcount!K$3),"",Headcount!K$3)</f>
      </c>
      <c r="L105" s="619">
        <f>IF(ISBLANK(Headcount!L$3),"",Headcount!L$3)</f>
      </c>
      <c r="M105" s="619">
        <f>IF(ISBLANK(Headcount!M$3),"",Headcount!M$3)</f>
      </c>
      <c r="N105" s="619">
        <f>IF(ISBLANK(Headcount!N$3),"",Headcount!N$3)</f>
      </c>
      <c r="P105" s="21">
        <f>+P$3</f>
        <v>2023</v>
      </c>
      <c r="Q105" s="18"/>
      <c r="R105" s="619">
        <f>IF(ISBLANK(Headcount!R$3),"",Headcount!R$3)</f>
      </c>
      <c r="S105" s="619">
        <f>IF(ISBLANK(Headcount!S$3),"",Headcount!S$3)</f>
      </c>
      <c r="T105" s="619">
        <f>IF(ISBLANK(Headcount!T$3),"",Headcount!T$3)</f>
      </c>
      <c r="U105" s="619">
        <f>IF(ISBLANK(Headcount!U$3),"",Headcount!U$3)</f>
      </c>
      <c r="V105" s="619">
        <f>IF(ISBLANK(Headcount!V$3),"",Headcount!V$3)</f>
      </c>
      <c r="W105" s="619">
        <f>IF(ISBLANK(Headcount!W$3),"",Headcount!W$3)</f>
      </c>
      <c r="X105" s="619">
        <f>IF(ISBLANK(Headcount!X$3),"",Headcount!X$3)</f>
      </c>
      <c r="Y105" s="619">
        <f>IF(ISBLANK(Headcount!Y$3),"",Headcount!Y$3)</f>
      </c>
      <c r="Z105" s="619">
        <f>IF(ISBLANK(Headcount!Z$3),"",Headcount!Z$3)</f>
      </c>
      <c r="AA105" s="619">
        <f>IF(ISBLANK(Headcount!AA$3),"",Headcount!AA$3)</f>
      </c>
      <c r="AB105" s="619">
        <f>IF(ISBLANK(Headcount!AB$3),"",Headcount!AB$3)</f>
      </c>
      <c r="AC105" s="619">
        <f>IF(ISBLANK(Headcount!AC$3),"",Headcount!AC$3)</f>
      </c>
    </row>
    <row r="106" spans="1:29" ht="18">
      <c r="A106" s="18"/>
      <c r="B106" s="37"/>
      <c r="C106" s="22" t="str">
        <f>IF(ISBLANK(Headcount!C$4),"",Headcount!C$4)</f>
        <v>Month</v>
      </c>
      <c r="D106" s="22" t="str">
        <f>IF(ISBLANK(Headcount!D$4),"",Headcount!D$4)</f>
        <v>Actual</v>
      </c>
      <c r="E106" s="22" t="str">
        <f>IF(ISBLANK(Headcount!E$4),"",Headcount!E$4)</f>
        <v>Actual</v>
      </c>
      <c r="F106" s="22" t="str">
        <f>IF(ISBLANK(Headcount!F$4),"",Headcount!F$4)</f>
        <v>Forecast</v>
      </c>
      <c r="G106" s="22" t="str">
        <f>IF(ISBLANK(Headcount!G$4),"",Headcount!G$4)</f>
        <v>Forecast</v>
      </c>
      <c r="H106" s="22" t="str">
        <f>IF(ISBLANK(Headcount!H$4),"",Headcount!H$4)</f>
        <v>Forecast</v>
      </c>
      <c r="I106" s="22" t="str">
        <f>IF(ISBLANK(Headcount!I$4),"",Headcount!I$4)</f>
        <v>Forecast</v>
      </c>
      <c r="J106" s="22" t="str">
        <f>IF(ISBLANK(Headcount!J$4),"",Headcount!J$4)</f>
        <v>Forecast</v>
      </c>
      <c r="K106" s="22" t="str">
        <f>IF(ISBLANK(Headcount!K$4),"",Headcount!K$4)</f>
        <v>Forecast</v>
      </c>
      <c r="L106" s="22" t="str">
        <f>IF(ISBLANK(Headcount!L$4),"",Headcount!L$4)</f>
        <v>Forecast</v>
      </c>
      <c r="M106" s="22" t="str">
        <f>IF(ISBLANK(Headcount!M$4),"",Headcount!M$4)</f>
        <v>Forecast</v>
      </c>
      <c r="N106" s="22" t="str">
        <f>IF(ISBLANK(Headcount!N$4),"",Headcount!N$4)</f>
        <v>Forecast</v>
      </c>
      <c r="P106" s="18"/>
      <c r="Q106" s="37"/>
      <c r="R106" s="22" t="str">
        <f>IF(ISBLANK(Headcount!R$4),"",Headcount!R$4)</f>
        <v>Forecast</v>
      </c>
      <c r="S106" s="22" t="str">
        <f>IF(ISBLANK(Headcount!S$4),"",Headcount!S$4)</f>
        <v>Forecast</v>
      </c>
      <c r="T106" s="22" t="str">
        <f>IF(ISBLANK(Headcount!T$4),"",Headcount!T$4)</f>
        <v>Forecast</v>
      </c>
      <c r="U106" s="22" t="str">
        <f>IF(ISBLANK(Headcount!U$4),"",Headcount!U$4)</f>
        <v>Forecast</v>
      </c>
      <c r="V106" s="22" t="str">
        <f>IF(ISBLANK(Headcount!V$4),"",Headcount!V$4)</f>
        <v>Forecast</v>
      </c>
      <c r="W106" s="22" t="str">
        <f>IF(ISBLANK(Headcount!W$4),"",Headcount!W$4)</f>
        <v>Forecast</v>
      </c>
      <c r="X106" s="22" t="str">
        <f>IF(ISBLANK(Headcount!X$4),"",Headcount!X$4)</f>
        <v>Forecast</v>
      </c>
      <c r="Y106" s="22" t="str">
        <f>IF(ISBLANK(Headcount!Y$4),"",Headcount!Y$4)</f>
        <v>Forecast</v>
      </c>
      <c r="Z106" s="22" t="str">
        <f>IF(ISBLANK(Headcount!Z$4),"",Headcount!Z$4)</f>
        <v>Forecast</v>
      </c>
      <c r="AA106" s="22" t="str">
        <f>IF(ISBLANK(Headcount!AA$4),"",Headcount!AA$4)</f>
        <v>Forecast</v>
      </c>
      <c r="AB106" s="22" t="str">
        <f>IF(ISBLANK(Headcount!AB$4),"",Headcount!AB$4)</f>
        <v>Forecast</v>
      </c>
      <c r="AC106" s="22" t="str">
        <f>IF(ISBLANK(Headcount!AC$4),"",Headcount!AC$4)</f>
        <v>Forecast</v>
      </c>
    </row>
    <row r="107" spans="1:29" ht="18.75" thickBot="1">
      <c r="A107" s="26"/>
      <c r="B107" s="38"/>
      <c r="C107" s="157" t="str">
        <f>+Headcount!C$5</f>
        <v>Jan</v>
      </c>
      <c r="D107" s="157" t="str">
        <f>+Headcount!D$5</f>
        <v>Feb</v>
      </c>
      <c r="E107" s="157" t="str">
        <f>+Headcount!E$5</f>
        <v>Mar</v>
      </c>
      <c r="F107" s="157" t="str">
        <f>+Headcount!F$5</f>
        <v>Apr</v>
      </c>
      <c r="G107" s="157" t="str">
        <f>+Headcount!G$5</f>
        <v>May</v>
      </c>
      <c r="H107" s="157" t="str">
        <f>+Headcount!H$5</f>
        <v>Jun</v>
      </c>
      <c r="I107" s="157" t="str">
        <f>+Headcount!I$5</f>
        <v>Jul</v>
      </c>
      <c r="J107" s="157" t="str">
        <f>+Headcount!J$5</f>
        <v>Aug</v>
      </c>
      <c r="K107" s="157" t="str">
        <f>+Headcount!K$5</f>
        <v>Sep</v>
      </c>
      <c r="L107" s="157" t="str">
        <f>+Headcount!L$5</f>
        <v>Oct</v>
      </c>
      <c r="M107" s="157" t="str">
        <f>+Headcount!M$5</f>
        <v>Nov</v>
      </c>
      <c r="N107" s="157" t="str">
        <f>+Headcount!N$5</f>
        <v>Dec</v>
      </c>
      <c r="P107" s="26"/>
      <c r="Q107" s="38"/>
      <c r="R107" s="157" t="str">
        <f>+Headcount!R$5</f>
        <v>Jan</v>
      </c>
      <c r="S107" s="157" t="str">
        <f>+Headcount!S$5</f>
        <v>Feb</v>
      </c>
      <c r="T107" s="157" t="str">
        <f>+Headcount!T$5</f>
        <v>Mar</v>
      </c>
      <c r="U107" s="157" t="str">
        <f>+Headcount!U$5</f>
        <v>Apr</v>
      </c>
      <c r="V107" s="157" t="str">
        <f>+Headcount!V$5</f>
        <v>May</v>
      </c>
      <c r="W107" s="157" t="str">
        <f>+Headcount!W$5</f>
        <v>Jun</v>
      </c>
      <c r="X107" s="157" t="str">
        <f>+Headcount!X$5</f>
        <v>Jul</v>
      </c>
      <c r="Y107" s="157" t="str">
        <f>+Headcount!Y$5</f>
        <v>Aug</v>
      </c>
      <c r="Z107" s="157" t="str">
        <f>+Headcount!Z$5</f>
        <v>Sep</v>
      </c>
      <c r="AA107" s="157" t="str">
        <f>+Headcount!AA$5</f>
        <v>Oct</v>
      </c>
      <c r="AB107" s="157" t="str">
        <f>+Headcount!AB$5</f>
        <v>Nov</v>
      </c>
      <c r="AC107" s="157" t="str">
        <f>+Headcount!AC$5</f>
        <v>Dec</v>
      </c>
    </row>
    <row r="108" spans="1:29" ht="18">
      <c r="A108" s="18"/>
      <c r="B108" s="13"/>
      <c r="C108" s="31"/>
      <c r="D108" s="31"/>
      <c r="E108" s="31"/>
      <c r="F108" s="31"/>
      <c r="G108" s="31"/>
      <c r="H108" s="31"/>
      <c r="I108" s="31"/>
      <c r="J108" s="31"/>
      <c r="K108" s="31"/>
      <c r="L108" s="31"/>
      <c r="M108" s="31"/>
      <c r="N108" s="31"/>
      <c r="P108" s="18"/>
      <c r="Q108" s="13"/>
      <c r="R108" s="31"/>
      <c r="S108" s="31"/>
      <c r="T108" s="31"/>
      <c r="U108" s="31"/>
      <c r="V108" s="31"/>
      <c r="W108" s="31"/>
      <c r="X108" s="31"/>
      <c r="Y108" s="31"/>
      <c r="Z108" s="31"/>
      <c r="AA108" s="31"/>
      <c r="AB108" s="31"/>
      <c r="AC108" s="31"/>
    </row>
    <row r="109" spans="1:30" ht="18">
      <c r="A109" s="48" t="s">
        <v>42</v>
      </c>
      <c r="B109" s="13"/>
      <c r="C109" s="207">
        <f aca="true" t="shared" si="86" ref="C109:M109">+C47</f>
        <v>0</v>
      </c>
      <c r="D109" s="207">
        <f t="shared" si="86"/>
        <v>0</v>
      </c>
      <c r="E109" s="207">
        <f t="shared" si="86"/>
        <v>0</v>
      </c>
      <c r="F109" s="207">
        <f t="shared" si="86"/>
        <v>0</v>
      </c>
      <c r="G109" s="207">
        <f t="shared" si="86"/>
        <v>0</v>
      </c>
      <c r="H109" s="207">
        <f t="shared" si="86"/>
        <v>0</v>
      </c>
      <c r="I109" s="207">
        <f t="shared" si="86"/>
        <v>0</v>
      </c>
      <c r="J109" s="207">
        <f t="shared" si="86"/>
        <v>0</v>
      </c>
      <c r="K109" s="207">
        <f t="shared" si="86"/>
        <v>0</v>
      </c>
      <c r="L109" s="207">
        <f t="shared" si="86"/>
        <v>0</v>
      </c>
      <c r="M109" s="207">
        <f t="shared" si="86"/>
        <v>0</v>
      </c>
      <c r="N109" s="207">
        <f>+N47</f>
        <v>0</v>
      </c>
      <c r="O109" s="199">
        <f>SUM(C109:N109)</f>
        <v>0</v>
      </c>
      <c r="P109" s="48" t="str">
        <f>+A109</f>
        <v>Net income</v>
      </c>
      <c r="Q109" s="13"/>
      <c r="R109" s="207">
        <f aca="true" t="shared" si="87" ref="R109:AB109">+R47</f>
        <v>0</v>
      </c>
      <c r="S109" s="207">
        <f t="shared" si="87"/>
        <v>0</v>
      </c>
      <c r="T109" s="207">
        <f t="shared" si="87"/>
        <v>0</v>
      </c>
      <c r="U109" s="207">
        <f t="shared" si="87"/>
        <v>0</v>
      </c>
      <c r="V109" s="207">
        <f t="shared" si="87"/>
        <v>0</v>
      </c>
      <c r="W109" s="207">
        <f t="shared" si="87"/>
        <v>0</v>
      </c>
      <c r="X109" s="207">
        <f t="shared" si="87"/>
        <v>0</v>
      </c>
      <c r="Y109" s="207">
        <f t="shared" si="87"/>
        <v>0</v>
      </c>
      <c r="Z109" s="207">
        <f t="shared" si="87"/>
        <v>0</v>
      </c>
      <c r="AA109" s="207">
        <f t="shared" si="87"/>
        <v>0</v>
      </c>
      <c r="AB109" s="207">
        <f t="shared" si="87"/>
        <v>0</v>
      </c>
      <c r="AC109" s="207">
        <f>+AC47</f>
        <v>0</v>
      </c>
      <c r="AD109" s="199">
        <f>SUM(R109:AC109)</f>
        <v>0</v>
      </c>
    </row>
    <row r="110" spans="1:30" ht="18">
      <c r="A110" s="18"/>
      <c r="C110" s="199"/>
      <c r="D110" s="199"/>
      <c r="E110" s="199"/>
      <c r="F110" s="199"/>
      <c r="G110" s="199"/>
      <c r="H110" s="199"/>
      <c r="I110" s="199"/>
      <c r="J110" s="199"/>
      <c r="K110" s="199"/>
      <c r="L110" s="199"/>
      <c r="M110" s="199"/>
      <c r="N110" s="199"/>
      <c r="O110" s="199"/>
      <c r="P110" s="18"/>
      <c r="R110" s="199"/>
      <c r="S110" s="199"/>
      <c r="T110" s="199"/>
      <c r="U110" s="199"/>
      <c r="V110" s="199"/>
      <c r="W110" s="199"/>
      <c r="X110" s="199"/>
      <c r="Y110" s="199"/>
      <c r="Z110" s="199"/>
      <c r="AA110" s="199"/>
      <c r="AB110" s="199"/>
      <c r="AC110" s="199"/>
      <c r="AD110" s="199"/>
    </row>
    <row r="111" spans="1:30" ht="18">
      <c r="A111" s="18" t="s">
        <v>43</v>
      </c>
      <c r="C111" s="199">
        <f aca="true" t="shared" si="88" ref="C111:M111">C45</f>
        <v>0</v>
      </c>
      <c r="D111" s="199">
        <f t="shared" si="88"/>
        <v>0</v>
      </c>
      <c r="E111" s="199">
        <f t="shared" si="88"/>
        <v>0</v>
      </c>
      <c r="F111" s="199">
        <f t="shared" si="88"/>
        <v>0</v>
      </c>
      <c r="G111" s="199">
        <f t="shared" si="88"/>
        <v>0</v>
      </c>
      <c r="H111" s="199">
        <f t="shared" si="88"/>
        <v>0</v>
      </c>
      <c r="I111" s="199">
        <f t="shared" si="88"/>
        <v>0</v>
      </c>
      <c r="J111" s="199">
        <f t="shared" si="88"/>
        <v>0</v>
      </c>
      <c r="K111" s="199">
        <f t="shared" si="88"/>
        <v>0</v>
      </c>
      <c r="L111" s="199">
        <f t="shared" si="88"/>
        <v>0</v>
      </c>
      <c r="M111" s="199">
        <f t="shared" si="88"/>
        <v>0</v>
      </c>
      <c r="N111" s="199">
        <f>N45</f>
        <v>0</v>
      </c>
      <c r="O111" s="199">
        <f>SUM(C111:N111)</f>
        <v>0</v>
      </c>
      <c r="P111" s="18" t="str">
        <f>+A111</f>
        <v>Add: Depreciation</v>
      </c>
      <c r="R111" s="199">
        <f aca="true" t="shared" si="89" ref="R111:AB111">R45</f>
        <v>0</v>
      </c>
      <c r="S111" s="199">
        <f t="shared" si="89"/>
        <v>0</v>
      </c>
      <c r="T111" s="199">
        <f t="shared" si="89"/>
        <v>0</v>
      </c>
      <c r="U111" s="199">
        <f t="shared" si="89"/>
        <v>0</v>
      </c>
      <c r="V111" s="199">
        <f t="shared" si="89"/>
        <v>0</v>
      </c>
      <c r="W111" s="199">
        <f t="shared" si="89"/>
        <v>0</v>
      </c>
      <c r="X111" s="199">
        <f t="shared" si="89"/>
        <v>0</v>
      </c>
      <c r="Y111" s="199">
        <f t="shared" si="89"/>
        <v>0</v>
      </c>
      <c r="Z111" s="199">
        <f t="shared" si="89"/>
        <v>0</v>
      </c>
      <c r="AA111" s="199">
        <f t="shared" si="89"/>
        <v>0</v>
      </c>
      <c r="AB111" s="199">
        <f t="shared" si="89"/>
        <v>0</v>
      </c>
      <c r="AC111" s="199">
        <f>AC45</f>
        <v>0</v>
      </c>
      <c r="AD111" s="199">
        <f>SUM(R111:AC111)</f>
        <v>0</v>
      </c>
    </row>
    <row r="112" spans="1:30" ht="18">
      <c r="A112" s="18"/>
      <c r="C112" s="199"/>
      <c r="D112" s="199"/>
      <c r="E112" s="199"/>
      <c r="F112" s="199"/>
      <c r="G112" s="199"/>
      <c r="H112" s="199"/>
      <c r="I112" s="199"/>
      <c r="J112" s="199"/>
      <c r="K112" s="199"/>
      <c r="L112" s="199"/>
      <c r="M112" s="199"/>
      <c r="N112" s="199"/>
      <c r="O112" s="199"/>
      <c r="P112" s="18"/>
      <c r="R112" s="199"/>
      <c r="S112" s="199"/>
      <c r="T112" s="199"/>
      <c r="U112" s="199"/>
      <c r="V112" s="199"/>
      <c r="W112" s="199"/>
      <c r="X112" s="199"/>
      <c r="Y112" s="199"/>
      <c r="Z112" s="199"/>
      <c r="AA112" s="199"/>
      <c r="AB112" s="199"/>
      <c r="AC112" s="199"/>
      <c r="AD112" s="199"/>
    </row>
    <row r="113" spans="1:30" ht="18">
      <c r="A113" s="613" t="s">
        <v>44</v>
      </c>
      <c r="C113" s="199"/>
      <c r="D113" s="199"/>
      <c r="E113" s="199"/>
      <c r="F113" s="199"/>
      <c r="G113" s="199"/>
      <c r="H113" s="199"/>
      <c r="I113" s="199"/>
      <c r="J113" s="199"/>
      <c r="K113" s="199"/>
      <c r="L113" s="199"/>
      <c r="M113" s="199"/>
      <c r="N113" s="199"/>
      <c r="O113" s="199"/>
      <c r="P113" s="63" t="str">
        <f aca="true" t="shared" si="90" ref="P113:P118">+A113</f>
        <v>Increase/Decrease</v>
      </c>
      <c r="R113" s="199"/>
      <c r="S113" s="199"/>
      <c r="T113" s="199"/>
      <c r="U113" s="199"/>
      <c r="V113" s="199"/>
      <c r="W113" s="199"/>
      <c r="X113" s="199"/>
      <c r="Y113" s="199"/>
      <c r="Z113" s="199"/>
      <c r="AA113" s="199"/>
      <c r="AB113" s="199"/>
      <c r="AC113" s="199"/>
      <c r="AD113" s="199"/>
    </row>
    <row r="114" spans="1:30" ht="18">
      <c r="A114" s="18" t="s">
        <v>86</v>
      </c>
      <c r="C114" s="199">
        <f aca="true" t="shared" si="91" ref="C114:N114">-(SUM(C60:C63)-SUM(B60:B63))</f>
        <v>0</v>
      </c>
      <c r="D114" s="199">
        <f t="shared" si="91"/>
        <v>0</v>
      </c>
      <c r="E114" s="199">
        <f t="shared" si="91"/>
        <v>0</v>
      </c>
      <c r="F114" s="199">
        <f t="shared" si="91"/>
        <v>0</v>
      </c>
      <c r="G114" s="199">
        <f t="shared" si="91"/>
        <v>0</v>
      </c>
      <c r="H114" s="199">
        <f t="shared" si="91"/>
        <v>0</v>
      </c>
      <c r="I114" s="199">
        <f t="shared" si="91"/>
        <v>0</v>
      </c>
      <c r="J114" s="199">
        <f t="shared" si="91"/>
        <v>0</v>
      </c>
      <c r="K114" s="199">
        <f t="shared" si="91"/>
        <v>0</v>
      </c>
      <c r="L114" s="199">
        <f t="shared" si="91"/>
        <v>0</v>
      </c>
      <c r="M114" s="199">
        <f t="shared" si="91"/>
        <v>0</v>
      </c>
      <c r="N114" s="199">
        <f t="shared" si="91"/>
        <v>0</v>
      </c>
      <c r="O114" s="199">
        <f>SUM(C114:N114)</f>
        <v>0</v>
      </c>
      <c r="P114" s="18" t="str">
        <f t="shared" si="90"/>
        <v>(Inc) Dec in Current Assets</v>
      </c>
      <c r="R114" s="199">
        <f aca="true" t="shared" si="92" ref="R114:AC114">-(SUM(R60:R63)-SUM(Q60:Q63))</f>
        <v>0</v>
      </c>
      <c r="S114" s="199">
        <f t="shared" si="92"/>
        <v>0</v>
      </c>
      <c r="T114" s="199">
        <f t="shared" si="92"/>
        <v>0</v>
      </c>
      <c r="U114" s="199">
        <f t="shared" si="92"/>
        <v>0</v>
      </c>
      <c r="V114" s="199">
        <f t="shared" si="92"/>
        <v>0</v>
      </c>
      <c r="W114" s="199">
        <f t="shared" si="92"/>
        <v>0</v>
      </c>
      <c r="X114" s="199">
        <f t="shared" si="92"/>
        <v>0</v>
      </c>
      <c r="Y114" s="199">
        <f t="shared" si="92"/>
        <v>0</v>
      </c>
      <c r="Z114" s="199">
        <f t="shared" si="92"/>
        <v>0</v>
      </c>
      <c r="AA114" s="199">
        <f t="shared" si="92"/>
        <v>0</v>
      </c>
      <c r="AB114" s="199">
        <f t="shared" si="92"/>
        <v>0</v>
      </c>
      <c r="AC114" s="199">
        <f t="shared" si="92"/>
        <v>0</v>
      </c>
      <c r="AD114" s="199">
        <f>SUM(R114:AC114)</f>
        <v>0</v>
      </c>
    </row>
    <row r="115" spans="1:30" ht="18">
      <c r="A115" s="18" t="s">
        <v>87</v>
      </c>
      <c r="C115" s="199">
        <f aca="true" t="shared" si="93" ref="C115:N115">-SUM(C67:C68)+SUM(B67:B68)</f>
        <v>0</v>
      </c>
      <c r="D115" s="199">
        <f t="shared" si="93"/>
        <v>0</v>
      </c>
      <c r="E115" s="199">
        <f t="shared" si="93"/>
        <v>0</v>
      </c>
      <c r="F115" s="199">
        <f t="shared" si="93"/>
        <v>0</v>
      </c>
      <c r="G115" s="199">
        <f t="shared" si="93"/>
        <v>0</v>
      </c>
      <c r="H115" s="199">
        <f t="shared" si="93"/>
        <v>0</v>
      </c>
      <c r="I115" s="199">
        <f t="shared" si="93"/>
        <v>0</v>
      </c>
      <c r="J115" s="199">
        <f t="shared" si="93"/>
        <v>0</v>
      </c>
      <c r="K115" s="199">
        <f t="shared" si="93"/>
        <v>0</v>
      </c>
      <c r="L115" s="199">
        <f t="shared" si="93"/>
        <v>0</v>
      </c>
      <c r="M115" s="199">
        <f t="shared" si="93"/>
        <v>0</v>
      </c>
      <c r="N115" s="199">
        <f t="shared" si="93"/>
        <v>0</v>
      </c>
      <c r="O115" s="199">
        <f>SUM(C115:N115)</f>
        <v>0</v>
      </c>
      <c r="P115" s="18" t="str">
        <f t="shared" si="90"/>
        <v>(Inc) Dec in Fixed Assets</v>
      </c>
      <c r="R115" s="199">
        <f aca="true" t="shared" si="94" ref="R115:AC115">-SUM(R67:R68)+SUM(Q67:Q68)</f>
        <v>0</v>
      </c>
      <c r="S115" s="199">
        <f t="shared" si="94"/>
        <v>0</v>
      </c>
      <c r="T115" s="199">
        <f t="shared" si="94"/>
        <v>0</v>
      </c>
      <c r="U115" s="199">
        <f t="shared" si="94"/>
        <v>0</v>
      </c>
      <c r="V115" s="199">
        <f t="shared" si="94"/>
        <v>0</v>
      </c>
      <c r="W115" s="199">
        <f t="shared" si="94"/>
        <v>0</v>
      </c>
      <c r="X115" s="199">
        <f t="shared" si="94"/>
        <v>0</v>
      </c>
      <c r="Y115" s="199">
        <f t="shared" si="94"/>
        <v>0</v>
      </c>
      <c r="Z115" s="199">
        <f t="shared" si="94"/>
        <v>0</v>
      </c>
      <c r="AA115" s="199">
        <f t="shared" si="94"/>
        <v>0</v>
      </c>
      <c r="AB115" s="199">
        <f t="shared" si="94"/>
        <v>0</v>
      </c>
      <c r="AC115" s="199">
        <f t="shared" si="94"/>
        <v>0</v>
      </c>
      <c r="AD115" s="199">
        <f>SUM(R115:AC115)</f>
        <v>0</v>
      </c>
    </row>
    <row r="116" spans="1:30" ht="18">
      <c r="A116" s="18" t="s">
        <v>88</v>
      </c>
      <c r="C116" s="199">
        <f aca="true" t="shared" si="95" ref="C116:N116">C80-B80</f>
        <v>0</v>
      </c>
      <c r="D116" s="199">
        <f t="shared" si="95"/>
        <v>0</v>
      </c>
      <c r="E116" s="199">
        <f t="shared" si="95"/>
        <v>0</v>
      </c>
      <c r="F116" s="199">
        <f t="shared" si="95"/>
        <v>0</v>
      </c>
      <c r="G116" s="199">
        <f t="shared" si="95"/>
        <v>0</v>
      </c>
      <c r="H116" s="199">
        <f t="shared" si="95"/>
        <v>0</v>
      </c>
      <c r="I116" s="208">
        <f t="shared" si="95"/>
        <v>0</v>
      </c>
      <c r="J116" s="199">
        <f t="shared" si="95"/>
        <v>0</v>
      </c>
      <c r="K116" s="199">
        <f t="shared" si="95"/>
        <v>0</v>
      </c>
      <c r="L116" s="199">
        <f t="shared" si="95"/>
        <v>0</v>
      </c>
      <c r="M116" s="199">
        <f t="shared" si="95"/>
        <v>0</v>
      </c>
      <c r="N116" s="199">
        <f t="shared" si="95"/>
        <v>0</v>
      </c>
      <c r="O116" s="199">
        <f>SUM(C116:N116)</f>
        <v>0</v>
      </c>
      <c r="P116" s="18" t="str">
        <f t="shared" si="90"/>
        <v>Inc (Dec) in Current Liabilities</v>
      </c>
      <c r="R116" s="199">
        <f aca="true" t="shared" si="96" ref="R116:AC116">R80-Q80</f>
        <v>0</v>
      </c>
      <c r="S116" s="199">
        <f t="shared" si="96"/>
        <v>0</v>
      </c>
      <c r="T116" s="199">
        <f t="shared" si="96"/>
        <v>0</v>
      </c>
      <c r="U116" s="199">
        <f t="shared" si="96"/>
        <v>0</v>
      </c>
      <c r="V116" s="199">
        <f t="shared" si="96"/>
        <v>0</v>
      </c>
      <c r="W116" s="199">
        <f t="shared" si="96"/>
        <v>0</v>
      </c>
      <c r="X116" s="208">
        <f t="shared" si="96"/>
        <v>0</v>
      </c>
      <c r="Y116" s="199">
        <f t="shared" si="96"/>
        <v>0</v>
      </c>
      <c r="Z116" s="199">
        <f t="shared" si="96"/>
        <v>0</v>
      </c>
      <c r="AA116" s="199">
        <f t="shared" si="96"/>
        <v>0</v>
      </c>
      <c r="AB116" s="199">
        <f t="shared" si="96"/>
        <v>0</v>
      </c>
      <c r="AC116" s="199">
        <f t="shared" si="96"/>
        <v>0</v>
      </c>
      <c r="AD116" s="199">
        <f>SUM(R116:AC116)</f>
        <v>0</v>
      </c>
    </row>
    <row r="117" spans="1:30" ht="18">
      <c r="A117" s="18" t="s">
        <v>131</v>
      </c>
      <c r="C117" s="199">
        <f>+C87-B87</f>
        <v>0</v>
      </c>
      <c r="D117" s="199">
        <f aca="true" t="shared" si="97" ref="D117:M117">+D87-C87</f>
        <v>0</v>
      </c>
      <c r="E117" s="199">
        <f t="shared" si="97"/>
        <v>0</v>
      </c>
      <c r="F117" s="199">
        <f t="shared" si="97"/>
        <v>0</v>
      </c>
      <c r="G117" s="199">
        <f t="shared" si="97"/>
        <v>0</v>
      </c>
      <c r="H117" s="199">
        <f t="shared" si="97"/>
        <v>0</v>
      </c>
      <c r="I117" s="199">
        <f t="shared" si="97"/>
        <v>0</v>
      </c>
      <c r="J117" s="199">
        <f t="shared" si="97"/>
        <v>0</v>
      </c>
      <c r="K117" s="199">
        <f t="shared" si="97"/>
        <v>0</v>
      </c>
      <c r="L117" s="199">
        <f t="shared" si="97"/>
        <v>0</v>
      </c>
      <c r="M117" s="199">
        <f t="shared" si="97"/>
        <v>0</v>
      </c>
      <c r="N117" s="199">
        <f>+N87-M87</f>
        <v>0</v>
      </c>
      <c r="O117" s="199">
        <f>SUM(C117:N117)</f>
        <v>0</v>
      </c>
      <c r="P117" s="18" t="str">
        <f t="shared" si="90"/>
        <v>Inc (Dec) in L/T Liabilities</v>
      </c>
      <c r="R117" s="199">
        <f aca="true" t="shared" si="98" ref="R117:AC117">+R87-Q87</f>
        <v>0</v>
      </c>
      <c r="S117" s="199">
        <f t="shared" si="98"/>
        <v>0</v>
      </c>
      <c r="T117" s="199">
        <f t="shared" si="98"/>
        <v>0</v>
      </c>
      <c r="U117" s="199">
        <f t="shared" si="98"/>
        <v>0</v>
      </c>
      <c r="V117" s="199">
        <f t="shared" si="98"/>
        <v>0</v>
      </c>
      <c r="W117" s="199">
        <f t="shared" si="98"/>
        <v>0</v>
      </c>
      <c r="X117" s="199">
        <f t="shared" si="98"/>
        <v>0</v>
      </c>
      <c r="Y117" s="199">
        <f t="shared" si="98"/>
        <v>0</v>
      </c>
      <c r="Z117" s="199">
        <f t="shared" si="98"/>
        <v>0</v>
      </c>
      <c r="AA117" s="199">
        <f t="shared" si="98"/>
        <v>0</v>
      </c>
      <c r="AB117" s="199">
        <f t="shared" si="98"/>
        <v>0</v>
      </c>
      <c r="AC117" s="199">
        <f t="shared" si="98"/>
        <v>0</v>
      </c>
      <c r="AD117" s="199">
        <f>SUM(R117:AC117)</f>
        <v>0</v>
      </c>
    </row>
    <row r="118" spans="1:30" ht="18">
      <c r="A118" s="18" t="s">
        <v>97</v>
      </c>
      <c r="C118" s="199">
        <f aca="true" t="shared" si="99" ref="C118:N118">+C143</f>
        <v>0</v>
      </c>
      <c r="D118" s="199">
        <f t="shared" si="99"/>
        <v>0</v>
      </c>
      <c r="E118" s="199">
        <f t="shared" si="99"/>
        <v>0</v>
      </c>
      <c r="F118" s="199">
        <f t="shared" si="99"/>
        <v>0</v>
      </c>
      <c r="G118" s="199">
        <f t="shared" si="99"/>
        <v>0</v>
      </c>
      <c r="H118" s="199">
        <f t="shared" si="99"/>
        <v>0</v>
      </c>
      <c r="I118" s="199">
        <f t="shared" si="99"/>
        <v>0</v>
      </c>
      <c r="J118" s="199">
        <f t="shared" si="99"/>
        <v>0</v>
      </c>
      <c r="K118" s="199">
        <f t="shared" si="99"/>
        <v>0</v>
      </c>
      <c r="L118" s="199">
        <f t="shared" si="99"/>
        <v>0</v>
      </c>
      <c r="M118" s="199">
        <f t="shared" si="99"/>
        <v>0</v>
      </c>
      <c r="N118" s="199">
        <f t="shared" si="99"/>
        <v>0</v>
      </c>
      <c r="O118" s="199">
        <f>SUM(C118:N118)</f>
        <v>0</v>
      </c>
      <c r="P118" s="18" t="str">
        <f t="shared" si="90"/>
        <v>Increase In Funding</v>
      </c>
      <c r="R118" s="199">
        <f aca="true" t="shared" si="100" ref="R118:AB118">+R143</f>
        <v>0</v>
      </c>
      <c r="S118" s="199">
        <f t="shared" si="100"/>
        <v>0</v>
      </c>
      <c r="T118" s="199">
        <f t="shared" si="100"/>
        <v>0</v>
      </c>
      <c r="U118" s="199">
        <f t="shared" si="100"/>
        <v>0</v>
      </c>
      <c r="V118" s="199">
        <f t="shared" si="100"/>
        <v>0</v>
      </c>
      <c r="W118" s="199">
        <f t="shared" si="100"/>
        <v>0</v>
      </c>
      <c r="X118" s="199">
        <f t="shared" si="100"/>
        <v>0</v>
      </c>
      <c r="Y118" s="199">
        <f t="shared" si="100"/>
        <v>0</v>
      </c>
      <c r="Z118" s="199">
        <f t="shared" si="100"/>
        <v>0</v>
      </c>
      <c r="AA118" s="199">
        <f t="shared" si="100"/>
        <v>0</v>
      </c>
      <c r="AB118" s="199">
        <f t="shared" si="100"/>
        <v>0</v>
      </c>
      <c r="AC118" s="199">
        <f>+AC143</f>
        <v>0</v>
      </c>
      <c r="AD118" s="199">
        <f>SUM(R118:AC118)</f>
        <v>0</v>
      </c>
    </row>
    <row r="119" spans="1:30" ht="18">
      <c r="A119" s="57"/>
      <c r="B119" s="40"/>
      <c r="C119" s="200"/>
      <c r="D119" s="200"/>
      <c r="E119" s="200"/>
      <c r="F119" s="200"/>
      <c r="G119" s="200"/>
      <c r="H119" s="200"/>
      <c r="I119" s="200"/>
      <c r="J119" s="200"/>
      <c r="K119" s="200"/>
      <c r="L119" s="200"/>
      <c r="M119" s="200"/>
      <c r="N119" s="200"/>
      <c r="O119" s="200"/>
      <c r="P119" s="18"/>
      <c r="Q119" s="40"/>
      <c r="R119" s="200"/>
      <c r="S119" s="200"/>
      <c r="T119" s="200"/>
      <c r="U119" s="200"/>
      <c r="V119" s="200"/>
      <c r="W119" s="200"/>
      <c r="X119" s="200"/>
      <c r="Y119" s="200"/>
      <c r="Z119" s="200"/>
      <c r="AA119" s="200"/>
      <c r="AB119" s="200"/>
      <c r="AC119" s="200"/>
      <c r="AD119" s="200"/>
    </row>
    <row r="120" spans="1:30" ht="18">
      <c r="A120" s="164" t="s">
        <v>98</v>
      </c>
      <c r="B120" s="161"/>
      <c r="C120" s="201">
        <f aca="true" t="shared" si="101" ref="C120:O120">SUM(C109:C119)</f>
        <v>0</v>
      </c>
      <c r="D120" s="201">
        <f t="shared" si="101"/>
        <v>0</v>
      </c>
      <c r="E120" s="201">
        <f t="shared" si="101"/>
        <v>0</v>
      </c>
      <c r="F120" s="201">
        <f t="shared" si="101"/>
        <v>0</v>
      </c>
      <c r="G120" s="201">
        <f t="shared" si="101"/>
        <v>0</v>
      </c>
      <c r="H120" s="201">
        <f t="shared" si="101"/>
        <v>0</v>
      </c>
      <c r="I120" s="201">
        <f t="shared" si="101"/>
        <v>0</v>
      </c>
      <c r="J120" s="201">
        <f t="shared" si="101"/>
        <v>0</v>
      </c>
      <c r="K120" s="201">
        <f t="shared" si="101"/>
        <v>0</v>
      </c>
      <c r="L120" s="201">
        <f t="shared" si="101"/>
        <v>0</v>
      </c>
      <c r="M120" s="201">
        <f t="shared" si="101"/>
        <v>0</v>
      </c>
      <c r="N120" s="201">
        <f t="shared" si="101"/>
        <v>0</v>
      </c>
      <c r="O120" s="201">
        <f t="shared" si="101"/>
        <v>0</v>
      </c>
      <c r="P120" s="164" t="s">
        <v>98</v>
      </c>
      <c r="Q120" s="161"/>
      <c r="R120" s="201">
        <f aca="true" t="shared" si="102" ref="R120:AC120">SUM(R109:R119)</f>
        <v>0</v>
      </c>
      <c r="S120" s="201">
        <f t="shared" si="102"/>
        <v>0</v>
      </c>
      <c r="T120" s="201">
        <f t="shared" si="102"/>
        <v>0</v>
      </c>
      <c r="U120" s="201">
        <f t="shared" si="102"/>
        <v>0</v>
      </c>
      <c r="V120" s="201">
        <f t="shared" si="102"/>
        <v>0</v>
      </c>
      <c r="W120" s="201">
        <f t="shared" si="102"/>
        <v>0</v>
      </c>
      <c r="X120" s="201">
        <f t="shared" si="102"/>
        <v>0</v>
      </c>
      <c r="Y120" s="201">
        <f t="shared" si="102"/>
        <v>0</v>
      </c>
      <c r="Z120" s="201">
        <f t="shared" si="102"/>
        <v>0</v>
      </c>
      <c r="AA120" s="201">
        <f t="shared" si="102"/>
        <v>0</v>
      </c>
      <c r="AB120" s="201">
        <f t="shared" si="102"/>
        <v>0</v>
      </c>
      <c r="AC120" s="201">
        <f t="shared" si="102"/>
        <v>0</v>
      </c>
      <c r="AD120" s="201">
        <f>SUM(R120:AC120)</f>
        <v>0</v>
      </c>
    </row>
    <row r="121" spans="1:30" ht="18">
      <c r="A121" s="57"/>
      <c r="B121" s="40"/>
      <c r="C121" s="209"/>
      <c r="D121" s="209"/>
      <c r="E121" s="209"/>
      <c r="F121" s="209"/>
      <c r="G121" s="209"/>
      <c r="H121" s="209"/>
      <c r="I121" s="209"/>
      <c r="J121" s="209"/>
      <c r="K121" s="209"/>
      <c r="L121" s="209"/>
      <c r="M121" s="209"/>
      <c r="N121" s="209"/>
      <c r="O121" s="209"/>
      <c r="P121" s="57"/>
      <c r="Q121" s="40"/>
      <c r="R121" s="209"/>
      <c r="S121" s="209"/>
      <c r="T121" s="209"/>
      <c r="U121" s="209"/>
      <c r="V121" s="209"/>
      <c r="W121" s="209"/>
      <c r="X121" s="209"/>
      <c r="Y121" s="209"/>
      <c r="Z121" s="209"/>
      <c r="AA121" s="209"/>
      <c r="AB121" s="209"/>
      <c r="AC121" s="209"/>
      <c r="AD121" s="209"/>
    </row>
    <row r="122" spans="1:30" ht="18">
      <c r="A122" s="167"/>
      <c r="B122" s="288"/>
      <c r="C122" s="210"/>
      <c r="D122" s="210"/>
      <c r="E122" s="211"/>
      <c r="F122" s="211"/>
      <c r="G122" s="211"/>
      <c r="H122" s="211"/>
      <c r="I122" s="211"/>
      <c r="J122" s="211"/>
      <c r="K122" s="211"/>
      <c r="L122" s="211"/>
      <c r="M122" s="211"/>
      <c r="N122" s="211"/>
      <c r="O122" s="216"/>
      <c r="P122" s="167"/>
      <c r="Q122" s="288"/>
      <c r="R122" s="211"/>
      <c r="S122" s="211"/>
      <c r="T122" s="211"/>
      <c r="U122" s="211"/>
      <c r="V122" s="211"/>
      <c r="W122" s="211"/>
      <c r="X122" s="211"/>
      <c r="Y122" s="211"/>
      <c r="Z122" s="211"/>
      <c r="AA122" s="211"/>
      <c r="AB122" s="211"/>
      <c r="AC122" s="211"/>
      <c r="AD122" s="216"/>
    </row>
    <row r="123" spans="1:30" ht="18">
      <c r="A123" s="65" t="s">
        <v>45</v>
      </c>
      <c r="B123" s="267">
        <f>+B59</f>
        <v>0</v>
      </c>
      <c r="C123" s="267">
        <f>+B129</f>
        <v>0</v>
      </c>
      <c r="D123" s="212">
        <f aca="true" t="shared" si="103" ref="D123:N123">+C129</f>
        <v>0</v>
      </c>
      <c r="E123" s="213">
        <f t="shared" si="103"/>
        <v>0</v>
      </c>
      <c r="F123" s="213">
        <f t="shared" si="103"/>
        <v>0</v>
      </c>
      <c r="G123" s="213">
        <f t="shared" si="103"/>
        <v>0</v>
      </c>
      <c r="H123" s="213">
        <f t="shared" si="103"/>
        <v>0</v>
      </c>
      <c r="I123" s="213">
        <f t="shared" si="103"/>
        <v>0</v>
      </c>
      <c r="J123" s="213">
        <f t="shared" si="103"/>
        <v>0</v>
      </c>
      <c r="K123" s="213">
        <f t="shared" si="103"/>
        <v>0</v>
      </c>
      <c r="L123" s="213">
        <f t="shared" si="103"/>
        <v>0</v>
      </c>
      <c r="M123" s="213">
        <f t="shared" si="103"/>
        <v>0</v>
      </c>
      <c r="N123" s="217">
        <f t="shared" si="103"/>
        <v>0</v>
      </c>
      <c r="O123" s="290"/>
      <c r="P123" s="65" t="s">
        <v>45</v>
      </c>
      <c r="Q123" s="289"/>
      <c r="R123" s="267">
        <f aca="true" t="shared" si="104" ref="R123:AC123">+Q129</f>
        <v>0</v>
      </c>
      <c r="S123" s="213">
        <f t="shared" si="104"/>
        <v>0</v>
      </c>
      <c r="T123" s="213">
        <f t="shared" si="104"/>
        <v>0</v>
      </c>
      <c r="U123" s="213">
        <f t="shared" si="104"/>
        <v>0</v>
      </c>
      <c r="V123" s="213">
        <f t="shared" si="104"/>
        <v>0</v>
      </c>
      <c r="W123" s="213">
        <f t="shared" si="104"/>
        <v>0</v>
      </c>
      <c r="X123" s="213">
        <f t="shared" si="104"/>
        <v>0</v>
      </c>
      <c r="Y123" s="213">
        <f t="shared" si="104"/>
        <v>0</v>
      </c>
      <c r="Z123" s="213">
        <f t="shared" si="104"/>
        <v>0</v>
      </c>
      <c r="AA123" s="213">
        <f t="shared" si="104"/>
        <v>0</v>
      </c>
      <c r="AB123" s="213">
        <f t="shared" si="104"/>
        <v>0</v>
      </c>
      <c r="AC123" s="213">
        <f t="shared" si="104"/>
        <v>0</v>
      </c>
      <c r="AD123" s="290"/>
    </row>
    <row r="124" spans="1:30" ht="18">
      <c r="A124" s="68"/>
      <c r="B124" s="69"/>
      <c r="C124" s="210"/>
      <c r="D124" s="210"/>
      <c r="E124" s="210"/>
      <c r="F124" s="210"/>
      <c r="G124" s="210"/>
      <c r="H124" s="210"/>
      <c r="I124" s="210"/>
      <c r="J124" s="210"/>
      <c r="K124" s="210"/>
      <c r="L124" s="210"/>
      <c r="M124" s="210"/>
      <c r="N124" s="210"/>
      <c r="O124" s="218"/>
      <c r="P124" s="68"/>
      <c r="Q124" s="69"/>
      <c r="R124" s="210"/>
      <c r="S124" s="210"/>
      <c r="T124" s="210"/>
      <c r="U124" s="210"/>
      <c r="V124" s="210"/>
      <c r="W124" s="210"/>
      <c r="X124" s="210"/>
      <c r="Y124" s="210"/>
      <c r="Z124" s="210"/>
      <c r="AA124" s="210"/>
      <c r="AB124" s="210"/>
      <c r="AC124" s="210"/>
      <c r="AD124" s="218"/>
    </row>
    <row r="125" spans="1:30" s="93" customFormat="1" ht="18">
      <c r="A125" s="91"/>
      <c r="B125" s="92"/>
      <c r="C125" s="214"/>
      <c r="D125" s="214"/>
      <c r="E125" s="214"/>
      <c r="F125" s="214"/>
      <c r="G125" s="214"/>
      <c r="H125" s="214"/>
      <c r="I125" s="214"/>
      <c r="J125" s="214"/>
      <c r="K125" s="214"/>
      <c r="L125" s="214"/>
      <c r="M125" s="214"/>
      <c r="N125" s="214"/>
      <c r="O125" s="214"/>
      <c r="P125" s="91"/>
      <c r="Q125" s="92"/>
      <c r="R125" s="214"/>
      <c r="S125" s="214"/>
      <c r="T125" s="214"/>
      <c r="U125" s="214"/>
      <c r="V125" s="214"/>
      <c r="W125" s="214"/>
      <c r="X125" s="214"/>
      <c r="Y125" s="214"/>
      <c r="Z125" s="214"/>
      <c r="AA125" s="214"/>
      <c r="AB125" s="214"/>
      <c r="AC125" s="214"/>
      <c r="AD125" s="214"/>
    </row>
    <row r="126" spans="1:30" ht="18">
      <c r="A126" s="18" t="s">
        <v>98</v>
      </c>
      <c r="C126" s="205">
        <f aca="true" t="shared" si="105" ref="C126:N126">+C120</f>
        <v>0</v>
      </c>
      <c r="D126" s="205">
        <f t="shared" si="105"/>
        <v>0</v>
      </c>
      <c r="E126" s="205">
        <f t="shared" si="105"/>
        <v>0</v>
      </c>
      <c r="F126" s="205">
        <f t="shared" si="105"/>
        <v>0</v>
      </c>
      <c r="G126" s="205">
        <f t="shared" si="105"/>
        <v>0</v>
      </c>
      <c r="H126" s="205">
        <f t="shared" si="105"/>
        <v>0</v>
      </c>
      <c r="I126" s="205">
        <f t="shared" si="105"/>
        <v>0</v>
      </c>
      <c r="J126" s="205">
        <f t="shared" si="105"/>
        <v>0</v>
      </c>
      <c r="K126" s="205">
        <f t="shared" si="105"/>
        <v>0</v>
      </c>
      <c r="L126" s="205">
        <f t="shared" si="105"/>
        <v>0</v>
      </c>
      <c r="M126" s="205">
        <f t="shared" si="105"/>
        <v>0</v>
      </c>
      <c r="N126" s="205">
        <f t="shared" si="105"/>
        <v>0</v>
      </c>
      <c r="O126" s="203"/>
      <c r="P126" s="18" t="s">
        <v>98</v>
      </c>
      <c r="R126" s="205">
        <f aca="true" t="shared" si="106" ref="R126:AC126">+R120</f>
        <v>0</v>
      </c>
      <c r="S126" s="205">
        <f t="shared" si="106"/>
        <v>0</v>
      </c>
      <c r="T126" s="205">
        <f t="shared" si="106"/>
        <v>0</v>
      </c>
      <c r="U126" s="205">
        <f t="shared" si="106"/>
        <v>0</v>
      </c>
      <c r="V126" s="205">
        <f t="shared" si="106"/>
        <v>0</v>
      </c>
      <c r="W126" s="205">
        <f t="shared" si="106"/>
        <v>0</v>
      </c>
      <c r="X126" s="205">
        <f t="shared" si="106"/>
        <v>0</v>
      </c>
      <c r="Y126" s="205">
        <f t="shared" si="106"/>
        <v>0</v>
      </c>
      <c r="Z126" s="205">
        <f t="shared" si="106"/>
        <v>0</v>
      </c>
      <c r="AA126" s="205">
        <f t="shared" si="106"/>
        <v>0</v>
      </c>
      <c r="AB126" s="205">
        <f t="shared" si="106"/>
        <v>0</v>
      </c>
      <c r="AC126" s="205">
        <f t="shared" si="106"/>
        <v>0</v>
      </c>
      <c r="AD126" s="205">
        <f>SUM(R126:AC126)</f>
        <v>0</v>
      </c>
    </row>
    <row r="127" spans="1:30" ht="18">
      <c r="A127" s="18"/>
      <c r="C127" s="203"/>
      <c r="D127" s="203"/>
      <c r="E127" s="203"/>
      <c r="F127" s="203"/>
      <c r="G127" s="203"/>
      <c r="H127" s="203"/>
      <c r="I127" s="203"/>
      <c r="J127" s="203"/>
      <c r="K127" s="203"/>
      <c r="L127" s="203"/>
      <c r="M127" s="203"/>
      <c r="N127" s="203"/>
      <c r="O127" s="203"/>
      <c r="P127" s="18"/>
      <c r="R127" s="203"/>
      <c r="S127" s="203"/>
      <c r="T127" s="203"/>
      <c r="U127" s="203"/>
      <c r="V127" s="203"/>
      <c r="W127" s="203"/>
      <c r="X127" s="203"/>
      <c r="Y127" s="203"/>
      <c r="Z127" s="203"/>
      <c r="AA127" s="203"/>
      <c r="AB127" s="203"/>
      <c r="AC127" s="203"/>
      <c r="AD127" s="203"/>
    </row>
    <row r="128" spans="1:30" ht="18">
      <c r="A128" s="66"/>
      <c r="B128" s="67"/>
      <c r="C128" s="215"/>
      <c r="D128" s="215"/>
      <c r="E128" s="215"/>
      <c r="F128" s="215"/>
      <c r="G128" s="215"/>
      <c r="H128" s="215"/>
      <c r="I128" s="215"/>
      <c r="J128" s="215"/>
      <c r="K128" s="215"/>
      <c r="L128" s="215"/>
      <c r="M128" s="215"/>
      <c r="N128" s="215"/>
      <c r="O128" s="219"/>
      <c r="P128" s="66"/>
      <c r="Q128" s="67"/>
      <c r="R128" s="215"/>
      <c r="S128" s="215"/>
      <c r="T128" s="215"/>
      <c r="U128" s="215"/>
      <c r="V128" s="215"/>
      <c r="W128" s="215"/>
      <c r="X128" s="215"/>
      <c r="Y128" s="215"/>
      <c r="Z128" s="215"/>
      <c r="AA128" s="215"/>
      <c r="AB128" s="215"/>
      <c r="AC128" s="215"/>
      <c r="AD128" s="219"/>
    </row>
    <row r="129" spans="1:30" ht="18">
      <c r="A129" s="65" t="s">
        <v>46</v>
      </c>
      <c r="B129" s="423">
        <f>+B123</f>
        <v>0</v>
      </c>
      <c r="C129" s="213">
        <f aca="true" t="shared" si="107" ref="C129:N129">+C123+C126</f>
        <v>0</v>
      </c>
      <c r="D129" s="213">
        <f t="shared" si="107"/>
        <v>0</v>
      </c>
      <c r="E129" s="213">
        <f t="shared" si="107"/>
        <v>0</v>
      </c>
      <c r="F129" s="213">
        <f t="shared" si="107"/>
        <v>0</v>
      </c>
      <c r="G129" s="213">
        <f t="shared" si="107"/>
        <v>0</v>
      </c>
      <c r="H129" s="213">
        <f t="shared" si="107"/>
        <v>0</v>
      </c>
      <c r="I129" s="213">
        <f t="shared" si="107"/>
        <v>0</v>
      </c>
      <c r="J129" s="213">
        <f t="shared" si="107"/>
        <v>0</v>
      </c>
      <c r="K129" s="213">
        <f t="shared" si="107"/>
        <v>0</v>
      </c>
      <c r="L129" s="213">
        <f t="shared" si="107"/>
        <v>0</v>
      </c>
      <c r="M129" s="213">
        <f t="shared" si="107"/>
        <v>0</v>
      </c>
      <c r="N129" s="217">
        <f t="shared" si="107"/>
        <v>0</v>
      </c>
      <c r="O129" s="290"/>
      <c r="P129" s="65" t="s">
        <v>46</v>
      </c>
      <c r="Q129" s="54">
        <f>+N129</f>
        <v>0</v>
      </c>
      <c r="R129" s="213">
        <f aca="true" t="shared" si="108" ref="R129:AC129">+R123+R126</f>
        <v>0</v>
      </c>
      <c r="S129" s="213">
        <f t="shared" si="108"/>
        <v>0</v>
      </c>
      <c r="T129" s="213">
        <f t="shared" si="108"/>
        <v>0</v>
      </c>
      <c r="U129" s="213">
        <f t="shared" si="108"/>
        <v>0</v>
      </c>
      <c r="V129" s="213">
        <f t="shared" si="108"/>
        <v>0</v>
      </c>
      <c r="W129" s="213">
        <f t="shared" si="108"/>
        <v>0</v>
      </c>
      <c r="X129" s="213">
        <f t="shared" si="108"/>
        <v>0</v>
      </c>
      <c r="Y129" s="213">
        <f t="shared" si="108"/>
        <v>0</v>
      </c>
      <c r="Z129" s="213">
        <f t="shared" si="108"/>
        <v>0</v>
      </c>
      <c r="AA129" s="213">
        <f t="shared" si="108"/>
        <v>0</v>
      </c>
      <c r="AB129" s="213">
        <f t="shared" si="108"/>
        <v>0</v>
      </c>
      <c r="AC129" s="213">
        <f t="shared" si="108"/>
        <v>0</v>
      </c>
      <c r="AD129" s="290"/>
    </row>
    <row r="130" spans="1:30" ht="18">
      <c r="A130" s="68"/>
      <c r="B130" s="69"/>
      <c r="C130" s="69"/>
      <c r="D130" s="69"/>
      <c r="E130" s="69"/>
      <c r="F130" s="69"/>
      <c r="G130" s="69"/>
      <c r="H130" s="69"/>
      <c r="I130" s="69"/>
      <c r="J130" s="69"/>
      <c r="K130" s="69"/>
      <c r="L130" s="69"/>
      <c r="M130" s="69"/>
      <c r="N130" s="69"/>
      <c r="O130" s="218"/>
      <c r="P130" s="68"/>
      <c r="Q130" s="69"/>
      <c r="R130" s="69"/>
      <c r="S130" s="69"/>
      <c r="T130" s="69"/>
      <c r="U130" s="69"/>
      <c r="V130" s="69"/>
      <c r="W130" s="69"/>
      <c r="X130" s="69"/>
      <c r="Y130" s="69"/>
      <c r="Z130" s="69"/>
      <c r="AA130" s="69"/>
      <c r="AB130" s="69"/>
      <c r="AC130" s="69"/>
      <c r="AD130" s="218"/>
    </row>
    <row r="132" spans="1:30" ht="18">
      <c r="A132" s="24" t="str">
        <f>+A1</f>
        <v>MyCo</v>
      </c>
      <c r="B132" s="19"/>
      <c r="C132" s="19"/>
      <c r="D132" s="19"/>
      <c r="E132" s="19"/>
      <c r="F132" s="19"/>
      <c r="G132" s="19"/>
      <c r="H132" s="19"/>
      <c r="I132" s="19"/>
      <c r="J132" s="19"/>
      <c r="K132" s="19"/>
      <c r="L132" s="19"/>
      <c r="M132" s="19"/>
      <c r="N132" s="19"/>
      <c r="O132" s="64" t="str">
        <f>+O$1</f>
        <v>Draft 1.0</v>
      </c>
      <c r="P132" s="24" t="str">
        <f>+P1</f>
        <v>MyCo</v>
      </c>
      <c r="Q132" s="19"/>
      <c r="R132" s="19"/>
      <c r="S132" s="19"/>
      <c r="T132" s="19"/>
      <c r="U132" s="19"/>
      <c r="V132" s="19"/>
      <c r="W132" s="19"/>
      <c r="X132" s="19"/>
      <c r="Y132" s="19"/>
      <c r="Z132" s="19"/>
      <c r="AA132" s="19"/>
      <c r="AB132" s="19"/>
      <c r="AC132" s="19"/>
      <c r="AD132" s="64" t="str">
        <f>+AD$1</f>
        <v>Draft 1.0</v>
      </c>
    </row>
    <row r="133" spans="1:30" ht="23.25">
      <c r="A133" s="20" t="s">
        <v>124</v>
      </c>
      <c r="B133" s="19"/>
      <c r="C133" s="19"/>
      <c r="D133" s="19"/>
      <c r="E133" s="19"/>
      <c r="F133" s="19"/>
      <c r="G133" s="19"/>
      <c r="H133" s="19"/>
      <c r="I133" s="19"/>
      <c r="J133" s="19"/>
      <c r="K133" s="19"/>
      <c r="L133" s="19"/>
      <c r="M133" s="19"/>
      <c r="N133" s="25"/>
      <c r="O133" s="19"/>
      <c r="P133" s="20" t="str">
        <f>+A133</f>
        <v>EQUITY FUNDING</v>
      </c>
      <c r="Q133" s="19"/>
      <c r="R133" s="19"/>
      <c r="S133" s="19"/>
      <c r="T133" s="19"/>
      <c r="U133" s="19"/>
      <c r="V133" s="19"/>
      <c r="W133" s="19"/>
      <c r="X133" s="19"/>
      <c r="Y133" s="19"/>
      <c r="Z133" s="19"/>
      <c r="AA133" s="19"/>
      <c r="AB133" s="19"/>
      <c r="AC133" s="25"/>
      <c r="AD133" s="19"/>
    </row>
    <row r="134" spans="1:29" ht="18">
      <c r="A134" s="21">
        <f>+$A$3</f>
        <v>2022</v>
      </c>
      <c r="B134" s="18"/>
      <c r="C134" s="619">
        <f>IF(ISBLANK(Headcount!C$3),"",Headcount!C$3)</f>
      </c>
      <c r="D134" s="619">
        <f>IF(ISBLANK(Headcount!D$3),"",Headcount!D$3)</f>
      </c>
      <c r="E134" s="619">
        <f>IF(ISBLANK(Headcount!E$3),"",Headcount!E$3)</f>
      </c>
      <c r="F134" s="619">
        <f>IF(ISBLANK(Headcount!F$3),"",Headcount!F$3)</f>
      </c>
      <c r="G134" s="619">
        <f>IF(ISBLANK(Headcount!G$3),"",Headcount!G$3)</f>
      </c>
      <c r="H134" s="619">
        <f>IF(ISBLANK(Headcount!H$3),"",Headcount!H$3)</f>
      </c>
      <c r="I134" s="619">
        <f>IF(ISBLANK(Headcount!I$3),"",Headcount!I$3)</f>
      </c>
      <c r="J134" s="619">
        <f>IF(ISBLANK(Headcount!J$3),"",Headcount!J$3)</f>
      </c>
      <c r="K134" s="619">
        <f>IF(ISBLANK(Headcount!K$3),"",Headcount!K$3)</f>
      </c>
      <c r="L134" s="619">
        <f>IF(ISBLANK(Headcount!L$3),"",Headcount!L$3)</f>
      </c>
      <c r="M134" s="619">
        <f>IF(ISBLANK(Headcount!M$3),"",Headcount!M$3)</f>
      </c>
      <c r="N134" s="619">
        <f>IF(ISBLANK(Headcount!N$3),"",Headcount!N$3)</f>
      </c>
      <c r="P134" s="21">
        <f>+P$3</f>
        <v>2023</v>
      </c>
      <c r="Q134" s="18"/>
      <c r="R134" s="619">
        <f>IF(ISBLANK(Headcount!R$3),"",Headcount!R$3)</f>
      </c>
      <c r="S134" s="619">
        <f>IF(ISBLANK(Headcount!S$3),"",Headcount!S$3)</f>
      </c>
      <c r="T134" s="619">
        <f>IF(ISBLANK(Headcount!T$3),"",Headcount!T$3)</f>
      </c>
      <c r="U134" s="619">
        <f>IF(ISBLANK(Headcount!U$3),"",Headcount!U$3)</f>
      </c>
      <c r="V134" s="619">
        <f>IF(ISBLANK(Headcount!V$3),"",Headcount!V$3)</f>
      </c>
      <c r="W134" s="619">
        <f>IF(ISBLANK(Headcount!W$3),"",Headcount!W$3)</f>
      </c>
      <c r="X134" s="619">
        <f>IF(ISBLANK(Headcount!X$3),"",Headcount!X$3)</f>
      </c>
      <c r="Y134" s="619">
        <f>IF(ISBLANK(Headcount!Y$3),"",Headcount!Y$3)</f>
      </c>
      <c r="Z134" s="619">
        <f>IF(ISBLANK(Headcount!Z$3),"",Headcount!Z$3)</f>
      </c>
      <c r="AA134" s="619">
        <f>IF(ISBLANK(Headcount!AA$3),"",Headcount!AA$3)</f>
      </c>
      <c r="AB134" s="619">
        <f>IF(ISBLANK(Headcount!AB$3),"",Headcount!AB$3)</f>
      </c>
      <c r="AC134" s="619">
        <f>IF(ISBLANK(Headcount!AC$3),"",Headcount!AC$3)</f>
      </c>
    </row>
    <row r="135" spans="1:29" ht="18">
      <c r="A135" s="18"/>
      <c r="B135" s="37"/>
      <c r="C135" s="22" t="str">
        <f>IF(ISBLANK(Headcount!C$4),"",Headcount!C$4)</f>
        <v>Month</v>
      </c>
      <c r="D135" s="22" t="str">
        <f>IF(ISBLANK(Headcount!D$4),"",Headcount!D$4)</f>
        <v>Actual</v>
      </c>
      <c r="E135" s="22" t="str">
        <f>IF(ISBLANK(Headcount!E$4),"",Headcount!E$4)</f>
        <v>Actual</v>
      </c>
      <c r="F135" s="22" t="str">
        <f>IF(ISBLANK(Headcount!F$4),"",Headcount!F$4)</f>
        <v>Forecast</v>
      </c>
      <c r="G135" s="22" t="str">
        <f>IF(ISBLANK(Headcount!G$4),"",Headcount!G$4)</f>
        <v>Forecast</v>
      </c>
      <c r="H135" s="22" t="str">
        <f>IF(ISBLANK(Headcount!H$4),"",Headcount!H$4)</f>
        <v>Forecast</v>
      </c>
      <c r="I135" s="22" t="str">
        <f>IF(ISBLANK(Headcount!I$4),"",Headcount!I$4)</f>
        <v>Forecast</v>
      </c>
      <c r="J135" s="22" t="str">
        <f>IF(ISBLANK(Headcount!J$4),"",Headcount!J$4)</f>
        <v>Forecast</v>
      </c>
      <c r="K135" s="22" t="str">
        <f>IF(ISBLANK(Headcount!K$4),"",Headcount!K$4)</f>
        <v>Forecast</v>
      </c>
      <c r="L135" s="22" t="str">
        <f>IF(ISBLANK(Headcount!L$4),"",Headcount!L$4)</f>
        <v>Forecast</v>
      </c>
      <c r="M135" s="22" t="str">
        <f>IF(ISBLANK(Headcount!M$4),"",Headcount!M$4)</f>
        <v>Forecast</v>
      </c>
      <c r="N135" s="22" t="str">
        <f>IF(ISBLANK(Headcount!N$4),"",Headcount!N$4)</f>
        <v>Forecast</v>
      </c>
      <c r="P135" s="18"/>
      <c r="Q135" s="37"/>
      <c r="R135" s="22" t="str">
        <f>IF(ISBLANK(Headcount!R$4),"",Headcount!R$4)</f>
        <v>Forecast</v>
      </c>
      <c r="S135" s="22" t="str">
        <f>IF(ISBLANK(Headcount!S$4),"",Headcount!S$4)</f>
        <v>Forecast</v>
      </c>
      <c r="T135" s="22" t="str">
        <f>IF(ISBLANK(Headcount!T$4),"",Headcount!T$4)</f>
        <v>Forecast</v>
      </c>
      <c r="U135" s="22" t="str">
        <f>IF(ISBLANK(Headcount!U$4),"",Headcount!U$4)</f>
        <v>Forecast</v>
      </c>
      <c r="V135" s="22" t="str">
        <f>IF(ISBLANK(Headcount!V$4),"",Headcount!V$4)</f>
        <v>Forecast</v>
      </c>
      <c r="W135" s="22" t="str">
        <f>IF(ISBLANK(Headcount!W$4),"",Headcount!W$4)</f>
        <v>Forecast</v>
      </c>
      <c r="X135" s="22" t="str">
        <f>IF(ISBLANK(Headcount!X$4),"",Headcount!X$4)</f>
        <v>Forecast</v>
      </c>
      <c r="Y135" s="22" t="str">
        <f>IF(ISBLANK(Headcount!Y$4),"",Headcount!Y$4)</f>
        <v>Forecast</v>
      </c>
      <c r="Z135" s="22" t="str">
        <f>IF(ISBLANK(Headcount!Z$4),"",Headcount!Z$4)</f>
        <v>Forecast</v>
      </c>
      <c r="AA135" s="22" t="str">
        <f>IF(ISBLANK(Headcount!AA$4),"",Headcount!AA$4)</f>
        <v>Forecast</v>
      </c>
      <c r="AB135" s="22" t="str">
        <f>IF(ISBLANK(Headcount!AB$4),"",Headcount!AB$4)</f>
        <v>Forecast</v>
      </c>
      <c r="AC135" s="22" t="str">
        <f>IF(ISBLANK(Headcount!AC$4),"",Headcount!AC$4)</f>
        <v>Forecast</v>
      </c>
    </row>
    <row r="136" spans="1:30" ht="18.75" thickBot="1">
      <c r="A136" s="26"/>
      <c r="B136" s="38"/>
      <c r="C136" s="157" t="str">
        <f>+Headcount!C$5</f>
        <v>Jan</v>
      </c>
      <c r="D136" s="157" t="str">
        <f>+Headcount!D$5</f>
        <v>Feb</v>
      </c>
      <c r="E136" s="157" t="str">
        <f>+Headcount!E$5</f>
        <v>Mar</v>
      </c>
      <c r="F136" s="157" t="str">
        <f>+Headcount!F$5</f>
        <v>Apr</v>
      </c>
      <c r="G136" s="157" t="str">
        <f>+Headcount!G$5</f>
        <v>May</v>
      </c>
      <c r="H136" s="157" t="str">
        <f>+Headcount!H$5</f>
        <v>Jun</v>
      </c>
      <c r="I136" s="157" t="str">
        <f>+Headcount!I$5</f>
        <v>Jul</v>
      </c>
      <c r="J136" s="157" t="str">
        <f>+Headcount!J$5</f>
        <v>Aug</v>
      </c>
      <c r="K136" s="157" t="str">
        <f>+Headcount!K$5</f>
        <v>Sep</v>
      </c>
      <c r="L136" s="157" t="str">
        <f>+Headcount!L$5</f>
        <v>Oct</v>
      </c>
      <c r="M136" s="157" t="str">
        <f>+Headcount!M$5</f>
        <v>Nov</v>
      </c>
      <c r="N136" s="157" t="str">
        <f>+Headcount!N$5</f>
        <v>Dec</v>
      </c>
      <c r="O136" s="36" t="s">
        <v>1</v>
      </c>
      <c r="P136" s="26"/>
      <c r="Q136" s="38"/>
      <c r="R136" s="157" t="str">
        <f>+Headcount!R$5</f>
        <v>Jan</v>
      </c>
      <c r="S136" s="157" t="str">
        <f>+Headcount!S$5</f>
        <v>Feb</v>
      </c>
      <c r="T136" s="157" t="str">
        <f>+Headcount!T$5</f>
        <v>Mar</v>
      </c>
      <c r="U136" s="157" t="str">
        <f>+Headcount!U$5</f>
        <v>Apr</v>
      </c>
      <c r="V136" s="157" t="str">
        <f>+Headcount!V$5</f>
        <v>May</v>
      </c>
      <c r="W136" s="157" t="str">
        <f>+Headcount!W$5</f>
        <v>Jun</v>
      </c>
      <c r="X136" s="157" t="str">
        <f>+Headcount!X$5</f>
        <v>Jul</v>
      </c>
      <c r="Y136" s="157" t="str">
        <f>+Headcount!Y$5</f>
        <v>Aug</v>
      </c>
      <c r="Z136" s="157" t="str">
        <f>+Headcount!Z$5</f>
        <v>Sep</v>
      </c>
      <c r="AA136" s="157" t="str">
        <f>+Headcount!AA$5</f>
        <v>Oct</v>
      </c>
      <c r="AB136" s="157" t="str">
        <f>+Headcount!AB$5</f>
        <v>Nov</v>
      </c>
      <c r="AC136" s="157" t="str">
        <f>+Headcount!AC$5</f>
        <v>Dec</v>
      </c>
      <c r="AD136" s="36" t="s">
        <v>1</v>
      </c>
    </row>
    <row r="137" spans="1:29" ht="23.25">
      <c r="A137" s="85" t="s">
        <v>66</v>
      </c>
      <c r="B137" s="90"/>
      <c r="C137" s="31"/>
      <c r="D137" s="31"/>
      <c r="E137" s="31"/>
      <c r="F137" s="31"/>
      <c r="G137" s="31"/>
      <c r="H137" s="31"/>
      <c r="I137" s="31"/>
      <c r="J137" s="31"/>
      <c r="K137" s="31"/>
      <c r="L137" s="31"/>
      <c r="M137" s="31"/>
      <c r="N137" s="31"/>
      <c r="P137" s="85" t="s">
        <v>66</v>
      </c>
      <c r="Q137" s="90"/>
      <c r="R137" s="31"/>
      <c r="S137" s="31"/>
      <c r="T137" s="31"/>
      <c r="U137" s="31"/>
      <c r="V137" s="31"/>
      <c r="W137" s="31"/>
      <c r="X137" s="31"/>
      <c r="Y137" s="31"/>
      <c r="Z137" s="31"/>
      <c r="AA137" s="31"/>
      <c r="AB137" s="31"/>
      <c r="AC137" s="31"/>
    </row>
    <row r="138" spans="1:30" ht="18">
      <c r="A138" s="18" t="s">
        <v>36</v>
      </c>
      <c r="B138" s="52"/>
      <c r="C138" s="227">
        <v>0</v>
      </c>
      <c r="D138" s="227">
        <v>0</v>
      </c>
      <c r="E138" s="227">
        <v>0</v>
      </c>
      <c r="F138" s="227">
        <v>0</v>
      </c>
      <c r="G138" s="227">
        <v>0</v>
      </c>
      <c r="H138" s="227">
        <v>0</v>
      </c>
      <c r="I138" s="227">
        <v>0</v>
      </c>
      <c r="J138" s="227">
        <v>0</v>
      </c>
      <c r="K138" s="227">
        <v>0</v>
      </c>
      <c r="L138" s="227">
        <v>0</v>
      </c>
      <c r="M138" s="227">
        <v>0</v>
      </c>
      <c r="N138" s="227">
        <v>0</v>
      </c>
      <c r="O138" s="205">
        <f aca="true" t="shared" si="109" ref="O138:O143">SUM(C138:N138)</f>
        <v>0</v>
      </c>
      <c r="P138" s="18" t="str">
        <f aca="true" t="shared" si="110" ref="P138:P143">+A138</f>
        <v>Common Stock</v>
      </c>
      <c r="Q138" s="52"/>
      <c r="R138" s="227">
        <v>0</v>
      </c>
      <c r="S138" s="227">
        <v>0</v>
      </c>
      <c r="T138" s="227">
        <v>0</v>
      </c>
      <c r="U138" s="227">
        <v>0</v>
      </c>
      <c r="V138" s="227">
        <v>0</v>
      </c>
      <c r="W138" s="227">
        <v>0</v>
      </c>
      <c r="X138" s="227">
        <v>0</v>
      </c>
      <c r="Y138" s="227">
        <v>0</v>
      </c>
      <c r="Z138" s="227">
        <v>0</v>
      </c>
      <c r="AA138" s="227">
        <v>0</v>
      </c>
      <c r="AB138" s="227">
        <v>0</v>
      </c>
      <c r="AC138" s="227">
        <v>0</v>
      </c>
      <c r="AD138" s="205">
        <f aca="true" t="shared" si="111" ref="AD138:AD143">SUM(R138:AC138)</f>
        <v>0</v>
      </c>
    </row>
    <row r="139" spans="1:30" ht="18">
      <c r="A139" s="18" t="s">
        <v>132</v>
      </c>
      <c r="B139" s="52"/>
      <c r="C139" s="226">
        <v>0</v>
      </c>
      <c r="D139" s="227">
        <v>0</v>
      </c>
      <c r="E139" s="227">
        <v>0</v>
      </c>
      <c r="F139" s="227">
        <v>0</v>
      </c>
      <c r="G139" s="227">
        <v>0</v>
      </c>
      <c r="H139" s="227">
        <v>0</v>
      </c>
      <c r="I139" s="227">
        <v>0</v>
      </c>
      <c r="J139" s="227">
        <v>0</v>
      </c>
      <c r="K139" s="227">
        <v>0</v>
      </c>
      <c r="L139" s="227">
        <v>0</v>
      </c>
      <c r="M139" s="227">
        <v>0</v>
      </c>
      <c r="N139" s="227">
        <v>0</v>
      </c>
      <c r="O139" s="205">
        <f t="shared" si="109"/>
        <v>0</v>
      </c>
      <c r="P139" s="18" t="str">
        <f t="shared" si="110"/>
        <v>Undefined Equity</v>
      </c>
      <c r="Q139" s="52"/>
      <c r="R139" s="227">
        <v>0</v>
      </c>
      <c r="S139" s="227">
        <v>0</v>
      </c>
      <c r="T139" s="227">
        <v>0</v>
      </c>
      <c r="U139" s="227">
        <v>0</v>
      </c>
      <c r="V139" s="227">
        <v>0</v>
      </c>
      <c r="W139" s="227">
        <v>0</v>
      </c>
      <c r="X139" s="227">
        <v>0</v>
      </c>
      <c r="Y139" s="227">
        <v>0</v>
      </c>
      <c r="Z139" s="227">
        <v>0</v>
      </c>
      <c r="AA139" s="227">
        <v>0</v>
      </c>
      <c r="AB139" s="227">
        <v>0</v>
      </c>
      <c r="AC139" s="227">
        <v>0</v>
      </c>
      <c r="AD139" s="205">
        <f t="shared" si="111"/>
        <v>0</v>
      </c>
    </row>
    <row r="140" spans="1:30" ht="18">
      <c r="A140" s="18" t="s">
        <v>67</v>
      </c>
      <c r="B140" s="52"/>
      <c r="C140" s="227">
        <v>0</v>
      </c>
      <c r="D140" s="227">
        <v>0</v>
      </c>
      <c r="E140" s="227">
        <v>0</v>
      </c>
      <c r="F140" s="227">
        <v>0</v>
      </c>
      <c r="G140" s="227">
        <v>0</v>
      </c>
      <c r="H140" s="227">
        <v>0</v>
      </c>
      <c r="I140" s="227">
        <v>0</v>
      </c>
      <c r="J140" s="227">
        <v>0</v>
      </c>
      <c r="K140" s="227">
        <v>0</v>
      </c>
      <c r="L140" s="227">
        <v>0</v>
      </c>
      <c r="M140" s="227">
        <v>0</v>
      </c>
      <c r="N140" s="227">
        <v>0</v>
      </c>
      <c r="O140" s="205">
        <f t="shared" si="109"/>
        <v>0</v>
      </c>
      <c r="P140" s="18" t="str">
        <f t="shared" si="110"/>
        <v>Preferred Stock - Series A</v>
      </c>
      <c r="Q140" s="52"/>
      <c r="R140" s="227">
        <v>0</v>
      </c>
      <c r="S140" s="227">
        <v>0</v>
      </c>
      <c r="T140" s="227">
        <v>0</v>
      </c>
      <c r="U140" s="227">
        <v>0</v>
      </c>
      <c r="V140" s="227">
        <v>0</v>
      </c>
      <c r="W140" s="227">
        <v>0</v>
      </c>
      <c r="X140" s="227">
        <v>0</v>
      </c>
      <c r="Y140" s="227">
        <v>0</v>
      </c>
      <c r="Z140" s="227">
        <v>0</v>
      </c>
      <c r="AA140" s="227">
        <v>0</v>
      </c>
      <c r="AB140" s="227">
        <v>0</v>
      </c>
      <c r="AC140" s="227">
        <v>0</v>
      </c>
      <c r="AD140" s="205">
        <f t="shared" si="111"/>
        <v>0</v>
      </c>
    </row>
    <row r="141" spans="1:30" ht="18">
      <c r="A141" s="18" t="s">
        <v>68</v>
      </c>
      <c r="B141" s="52"/>
      <c r="C141" s="227">
        <v>0</v>
      </c>
      <c r="D141" s="227">
        <v>0</v>
      </c>
      <c r="E141" s="227">
        <v>0</v>
      </c>
      <c r="F141" s="227">
        <v>0</v>
      </c>
      <c r="G141" s="227">
        <v>0</v>
      </c>
      <c r="H141" s="227">
        <v>0</v>
      </c>
      <c r="I141" s="227">
        <v>0</v>
      </c>
      <c r="J141" s="227">
        <v>0</v>
      </c>
      <c r="K141" s="227">
        <v>0</v>
      </c>
      <c r="L141" s="227">
        <v>0</v>
      </c>
      <c r="M141" s="227">
        <v>0</v>
      </c>
      <c r="N141" s="227">
        <v>0</v>
      </c>
      <c r="O141" s="205">
        <f t="shared" si="109"/>
        <v>0</v>
      </c>
      <c r="P141" s="18" t="str">
        <f t="shared" si="110"/>
        <v>Preferred Stock - Series B</v>
      </c>
      <c r="Q141" s="52"/>
      <c r="R141" s="227">
        <v>0</v>
      </c>
      <c r="S141" s="227">
        <v>0</v>
      </c>
      <c r="T141" s="227">
        <v>0</v>
      </c>
      <c r="U141" s="227">
        <v>0</v>
      </c>
      <c r="V141" s="227">
        <v>0</v>
      </c>
      <c r="W141" s="227">
        <v>0</v>
      </c>
      <c r="X141" s="227">
        <v>0</v>
      </c>
      <c r="Y141" s="227">
        <v>0</v>
      </c>
      <c r="Z141" s="227">
        <v>0</v>
      </c>
      <c r="AA141" s="227">
        <v>0</v>
      </c>
      <c r="AB141" s="227">
        <v>0</v>
      </c>
      <c r="AC141" s="227">
        <v>0</v>
      </c>
      <c r="AD141" s="205">
        <f t="shared" si="111"/>
        <v>0</v>
      </c>
    </row>
    <row r="142" spans="1:30" ht="18">
      <c r="A142" s="18" t="s">
        <v>69</v>
      </c>
      <c r="B142" s="71"/>
      <c r="C142" s="228">
        <v>0</v>
      </c>
      <c r="D142" s="228">
        <v>0</v>
      </c>
      <c r="E142" s="228">
        <v>0</v>
      </c>
      <c r="F142" s="228">
        <v>0</v>
      </c>
      <c r="G142" s="228">
        <v>0</v>
      </c>
      <c r="H142" s="228"/>
      <c r="I142" s="228">
        <v>0</v>
      </c>
      <c r="J142" s="228">
        <v>0</v>
      </c>
      <c r="K142" s="228">
        <v>0</v>
      </c>
      <c r="L142" s="228">
        <v>0</v>
      </c>
      <c r="M142" s="228">
        <v>0</v>
      </c>
      <c r="N142" s="228">
        <v>0</v>
      </c>
      <c r="O142" s="212">
        <f t="shared" si="109"/>
        <v>0</v>
      </c>
      <c r="P142" s="18" t="str">
        <f t="shared" si="110"/>
        <v>Preferred Stock - Series C</v>
      </c>
      <c r="Q142" s="71"/>
      <c r="R142" s="228">
        <v>0</v>
      </c>
      <c r="S142" s="228">
        <v>0</v>
      </c>
      <c r="T142" s="228">
        <v>0</v>
      </c>
      <c r="U142" s="228">
        <v>0</v>
      </c>
      <c r="V142" s="228">
        <v>0</v>
      </c>
      <c r="W142" s="228"/>
      <c r="X142" s="228">
        <v>0</v>
      </c>
      <c r="Y142" s="228">
        <v>0</v>
      </c>
      <c r="Z142" s="228">
        <v>0</v>
      </c>
      <c r="AA142" s="228">
        <v>0</v>
      </c>
      <c r="AB142" s="228">
        <v>0</v>
      </c>
      <c r="AC142" s="228">
        <v>0</v>
      </c>
      <c r="AD142" s="212">
        <f t="shared" si="111"/>
        <v>0</v>
      </c>
    </row>
    <row r="143" spans="1:30" ht="18">
      <c r="A143" s="164" t="s">
        <v>70</v>
      </c>
      <c r="B143" s="77"/>
      <c r="C143" s="201">
        <f aca="true" t="shared" si="112" ref="C143:N143">SUM(C138:C142)</f>
        <v>0</v>
      </c>
      <c r="D143" s="201">
        <f t="shared" si="112"/>
        <v>0</v>
      </c>
      <c r="E143" s="201">
        <f t="shared" si="112"/>
        <v>0</v>
      </c>
      <c r="F143" s="201">
        <f t="shared" si="112"/>
        <v>0</v>
      </c>
      <c r="G143" s="201">
        <f t="shared" si="112"/>
        <v>0</v>
      </c>
      <c r="H143" s="201">
        <f t="shared" si="112"/>
        <v>0</v>
      </c>
      <c r="I143" s="201">
        <f t="shared" si="112"/>
        <v>0</v>
      </c>
      <c r="J143" s="201">
        <f t="shared" si="112"/>
        <v>0</v>
      </c>
      <c r="K143" s="201">
        <f t="shared" si="112"/>
        <v>0</v>
      </c>
      <c r="L143" s="201">
        <f t="shared" si="112"/>
        <v>0</v>
      </c>
      <c r="M143" s="201">
        <f t="shared" si="112"/>
        <v>0</v>
      </c>
      <c r="N143" s="201">
        <f t="shared" si="112"/>
        <v>0</v>
      </c>
      <c r="O143" s="206">
        <f t="shared" si="109"/>
        <v>0</v>
      </c>
      <c r="P143" s="164" t="str">
        <f t="shared" si="110"/>
        <v>Total Equity Contributed</v>
      </c>
      <c r="Q143" s="77"/>
      <c r="R143" s="201">
        <f aca="true" t="shared" si="113" ref="R143:AC143">SUM(R138:R142)</f>
        <v>0</v>
      </c>
      <c r="S143" s="201">
        <f t="shared" si="113"/>
        <v>0</v>
      </c>
      <c r="T143" s="201">
        <f t="shared" si="113"/>
        <v>0</v>
      </c>
      <c r="U143" s="201">
        <f t="shared" si="113"/>
        <v>0</v>
      </c>
      <c r="V143" s="201">
        <f t="shared" si="113"/>
        <v>0</v>
      </c>
      <c r="W143" s="201">
        <f t="shared" si="113"/>
        <v>0</v>
      </c>
      <c r="X143" s="201">
        <f t="shared" si="113"/>
        <v>0</v>
      </c>
      <c r="Y143" s="201">
        <f t="shared" si="113"/>
        <v>0</v>
      </c>
      <c r="Z143" s="201">
        <f t="shared" si="113"/>
        <v>0</v>
      </c>
      <c r="AA143" s="201">
        <f t="shared" si="113"/>
        <v>0</v>
      </c>
      <c r="AB143" s="201">
        <f t="shared" si="113"/>
        <v>0</v>
      </c>
      <c r="AC143" s="201">
        <f t="shared" si="113"/>
        <v>0</v>
      </c>
      <c r="AD143" s="206">
        <f t="shared" si="111"/>
        <v>0</v>
      </c>
    </row>
    <row r="144" spans="1:30" ht="18.75" thickBot="1">
      <c r="A144" s="168"/>
      <c r="B144" s="169"/>
      <c r="C144" s="229"/>
      <c r="D144" s="229"/>
      <c r="E144" s="229"/>
      <c r="F144" s="229"/>
      <c r="G144" s="229"/>
      <c r="H144" s="229"/>
      <c r="I144" s="229"/>
      <c r="J144" s="229"/>
      <c r="K144" s="229"/>
      <c r="L144" s="229"/>
      <c r="M144" s="229"/>
      <c r="N144" s="229"/>
      <c r="O144" s="202"/>
      <c r="P144" s="168"/>
      <c r="Q144" s="169"/>
      <c r="R144" s="229"/>
      <c r="S144" s="229"/>
      <c r="T144" s="229"/>
      <c r="U144" s="229"/>
      <c r="V144" s="229"/>
      <c r="W144" s="229"/>
      <c r="X144" s="229"/>
      <c r="Y144" s="229"/>
      <c r="Z144" s="229"/>
      <c r="AA144" s="229"/>
      <c r="AB144" s="229"/>
      <c r="AC144" s="229"/>
      <c r="AD144" s="202"/>
    </row>
    <row r="145" spans="1:30" ht="19.5" thickBot="1">
      <c r="A145" s="230" t="s">
        <v>83</v>
      </c>
      <c r="B145" s="231"/>
      <c r="C145" s="232">
        <f aca="true" t="shared" si="114" ref="C145:N145">+C129</f>
        <v>0</v>
      </c>
      <c r="D145" s="232">
        <f t="shared" si="114"/>
        <v>0</v>
      </c>
      <c r="E145" s="232">
        <f t="shared" si="114"/>
        <v>0</v>
      </c>
      <c r="F145" s="232">
        <f t="shared" si="114"/>
        <v>0</v>
      </c>
      <c r="G145" s="232">
        <f t="shared" si="114"/>
        <v>0</v>
      </c>
      <c r="H145" s="232">
        <f t="shared" si="114"/>
        <v>0</v>
      </c>
      <c r="I145" s="232">
        <f t="shared" si="114"/>
        <v>0</v>
      </c>
      <c r="J145" s="232">
        <f t="shared" si="114"/>
        <v>0</v>
      </c>
      <c r="K145" s="232">
        <f t="shared" si="114"/>
        <v>0</v>
      </c>
      <c r="L145" s="232">
        <f t="shared" si="114"/>
        <v>0</v>
      </c>
      <c r="M145" s="232">
        <f t="shared" si="114"/>
        <v>0</v>
      </c>
      <c r="N145" s="233">
        <f t="shared" si="114"/>
        <v>0</v>
      </c>
      <c r="O145" s="203"/>
      <c r="P145" s="230" t="s">
        <v>83</v>
      </c>
      <c r="Q145" s="231"/>
      <c r="R145" s="232">
        <f aca="true" t="shared" si="115" ref="R145:AC145">+R129</f>
        <v>0</v>
      </c>
      <c r="S145" s="232">
        <f t="shared" si="115"/>
        <v>0</v>
      </c>
      <c r="T145" s="232">
        <f t="shared" si="115"/>
        <v>0</v>
      </c>
      <c r="U145" s="232">
        <f t="shared" si="115"/>
        <v>0</v>
      </c>
      <c r="V145" s="232">
        <f t="shared" si="115"/>
        <v>0</v>
      </c>
      <c r="W145" s="232">
        <f t="shared" si="115"/>
        <v>0</v>
      </c>
      <c r="X145" s="232">
        <f t="shared" si="115"/>
        <v>0</v>
      </c>
      <c r="Y145" s="232">
        <f t="shared" si="115"/>
        <v>0</v>
      </c>
      <c r="Z145" s="232">
        <f t="shared" si="115"/>
        <v>0</v>
      </c>
      <c r="AA145" s="232">
        <f t="shared" si="115"/>
        <v>0</v>
      </c>
      <c r="AB145" s="232">
        <f t="shared" si="115"/>
        <v>0</v>
      </c>
      <c r="AC145" s="233">
        <f t="shared" si="115"/>
        <v>0</v>
      </c>
      <c r="AD145" s="203"/>
    </row>
    <row r="146" spans="1:29" ht="18">
      <c r="A146" s="18"/>
      <c r="B146" s="13"/>
      <c r="C146" s="31"/>
      <c r="D146" s="31"/>
      <c r="E146" s="31"/>
      <c r="F146" s="31"/>
      <c r="G146" s="31"/>
      <c r="H146" s="31"/>
      <c r="I146" s="31"/>
      <c r="J146" s="31"/>
      <c r="K146" s="31"/>
      <c r="L146" s="31"/>
      <c r="M146" s="31"/>
      <c r="N146" s="31"/>
      <c r="P146" s="18"/>
      <c r="Q146" s="13"/>
      <c r="R146" s="31"/>
      <c r="S146" s="31"/>
      <c r="T146" s="31"/>
      <c r="U146" s="31"/>
      <c r="V146" s="31"/>
      <c r="W146" s="31"/>
      <c r="X146" s="31"/>
      <c r="Y146" s="31"/>
      <c r="Z146" s="31"/>
      <c r="AA146" s="31"/>
      <c r="AB146" s="31"/>
      <c r="AC146" s="31"/>
    </row>
    <row r="147" spans="1:29" ht="18">
      <c r="A147" s="18"/>
      <c r="B147" s="13"/>
      <c r="C147" s="31"/>
      <c r="D147" s="31"/>
      <c r="E147" s="31"/>
      <c r="F147" s="31"/>
      <c r="G147" s="31"/>
      <c r="H147" s="31"/>
      <c r="I147" s="31"/>
      <c r="J147" s="31"/>
      <c r="K147" s="31"/>
      <c r="L147" s="31"/>
      <c r="M147" s="31"/>
      <c r="N147" s="31"/>
      <c r="P147" s="18"/>
      <c r="Q147" s="13"/>
      <c r="R147" s="31"/>
      <c r="S147" s="31"/>
      <c r="T147" s="31"/>
      <c r="U147" s="31"/>
      <c r="V147" s="31"/>
      <c r="W147" s="31"/>
      <c r="X147" s="31"/>
      <c r="Y147" s="31"/>
      <c r="Z147" s="31"/>
      <c r="AA147" s="31"/>
      <c r="AB147" s="31"/>
      <c r="AC147" s="31"/>
    </row>
    <row r="148" spans="1:29" ht="18">
      <c r="A148" s="18"/>
      <c r="B148" s="13"/>
      <c r="C148" s="31"/>
      <c r="D148" s="31"/>
      <c r="E148" s="31"/>
      <c r="F148" s="31"/>
      <c r="G148" s="31"/>
      <c r="H148" s="31"/>
      <c r="I148" s="31"/>
      <c r="J148" s="31"/>
      <c r="K148" s="31"/>
      <c r="L148" s="31"/>
      <c r="M148" s="31"/>
      <c r="N148" s="31"/>
      <c r="P148" s="18"/>
      <c r="Q148" s="13"/>
      <c r="R148" s="31"/>
      <c r="S148" s="31"/>
      <c r="T148" s="31"/>
      <c r="U148" s="31"/>
      <c r="V148" s="31"/>
      <c r="W148" s="31"/>
      <c r="X148" s="31"/>
      <c r="Y148" s="31"/>
      <c r="Z148" s="31"/>
      <c r="AA148" s="31"/>
      <c r="AB148" s="31"/>
      <c r="AC148" s="31"/>
    </row>
    <row r="149" spans="1:29" ht="18">
      <c r="A149" s="18"/>
      <c r="B149" s="13"/>
      <c r="C149" s="31"/>
      <c r="D149" s="31"/>
      <c r="E149" s="31"/>
      <c r="F149" s="31"/>
      <c r="G149" s="31"/>
      <c r="H149" s="31"/>
      <c r="I149" s="31"/>
      <c r="J149" s="31"/>
      <c r="K149" s="31"/>
      <c r="L149" s="31"/>
      <c r="M149" s="31"/>
      <c r="N149" s="31"/>
      <c r="P149" s="18"/>
      <c r="Q149" s="13"/>
      <c r="R149" s="31"/>
      <c r="S149" s="31"/>
      <c r="T149" s="31"/>
      <c r="U149" s="31"/>
      <c r="V149" s="31"/>
      <c r="W149" s="31"/>
      <c r="X149" s="31"/>
      <c r="Y149" s="31"/>
      <c r="Z149" s="31"/>
      <c r="AA149" s="31"/>
      <c r="AB149" s="31"/>
      <c r="AC149" s="31"/>
    </row>
    <row r="150" spans="1:29" ht="18">
      <c r="A150" s="18"/>
      <c r="B150" s="13"/>
      <c r="C150" s="31"/>
      <c r="D150" s="31"/>
      <c r="E150" s="31"/>
      <c r="F150" s="31"/>
      <c r="G150" s="31"/>
      <c r="H150" s="31"/>
      <c r="I150" s="31"/>
      <c r="J150" s="31"/>
      <c r="K150" s="31"/>
      <c r="L150" s="31"/>
      <c r="M150" s="31"/>
      <c r="N150" s="31"/>
      <c r="P150" s="18"/>
      <c r="Q150" s="13"/>
      <c r="R150" s="31"/>
      <c r="S150" s="31"/>
      <c r="T150" s="31"/>
      <c r="U150" s="31"/>
      <c r="V150" s="31"/>
      <c r="W150" s="31"/>
      <c r="X150" s="31"/>
      <c r="Y150" s="31"/>
      <c r="Z150" s="31"/>
      <c r="AA150" s="31"/>
      <c r="AB150" s="31"/>
      <c r="AC150" s="31"/>
    </row>
    <row r="151" spans="1:29" ht="18">
      <c r="A151" s="18"/>
      <c r="B151" s="13"/>
      <c r="C151" s="31"/>
      <c r="D151" s="31"/>
      <c r="E151" s="31"/>
      <c r="F151" s="31"/>
      <c r="G151" s="31"/>
      <c r="H151" s="31"/>
      <c r="I151" s="31"/>
      <c r="J151" s="31"/>
      <c r="K151" s="31"/>
      <c r="L151" s="31"/>
      <c r="M151" s="31"/>
      <c r="N151" s="31"/>
      <c r="P151" s="18"/>
      <c r="Q151" s="13"/>
      <c r="R151" s="31"/>
      <c r="S151" s="31"/>
      <c r="T151" s="31"/>
      <c r="U151" s="31"/>
      <c r="V151" s="31"/>
      <c r="W151" s="31"/>
      <c r="X151" s="31"/>
      <c r="Y151" s="31"/>
      <c r="Z151" s="31"/>
      <c r="AA151" s="31"/>
      <c r="AB151" s="31"/>
      <c r="AC151" s="31"/>
    </row>
    <row r="152" spans="1:29" ht="18">
      <c r="A152" s="18"/>
      <c r="B152" s="13"/>
      <c r="C152" s="31"/>
      <c r="D152" s="31"/>
      <c r="E152" s="31"/>
      <c r="F152" s="31"/>
      <c r="G152" s="31"/>
      <c r="H152" s="31"/>
      <c r="I152" s="31"/>
      <c r="J152" s="31"/>
      <c r="K152" s="31"/>
      <c r="L152" s="31"/>
      <c r="M152" s="31"/>
      <c r="N152" s="31"/>
      <c r="P152" s="18"/>
      <c r="Q152" s="13"/>
      <c r="R152" s="31"/>
      <c r="S152" s="31"/>
      <c r="T152" s="31"/>
      <c r="U152" s="31"/>
      <c r="V152" s="31"/>
      <c r="W152" s="31"/>
      <c r="X152" s="31"/>
      <c r="Y152" s="31"/>
      <c r="Z152" s="31"/>
      <c r="AA152" s="31"/>
      <c r="AB152" s="31"/>
      <c r="AC152" s="31"/>
    </row>
    <row r="153" spans="1:29" ht="18">
      <c r="A153" s="18"/>
      <c r="B153" s="13"/>
      <c r="C153" s="31"/>
      <c r="D153" s="31"/>
      <c r="E153" s="31"/>
      <c r="F153" s="31"/>
      <c r="G153" s="31"/>
      <c r="H153" s="31"/>
      <c r="I153" s="31"/>
      <c r="J153" s="31"/>
      <c r="K153" s="31"/>
      <c r="L153" s="31"/>
      <c r="M153" s="31"/>
      <c r="N153" s="31"/>
      <c r="P153" s="18"/>
      <c r="Q153" s="13"/>
      <c r="R153" s="31"/>
      <c r="S153" s="31"/>
      <c r="T153" s="31"/>
      <c r="U153" s="31"/>
      <c r="V153" s="31"/>
      <c r="W153" s="31"/>
      <c r="X153" s="31"/>
      <c r="Y153" s="31"/>
      <c r="Z153" s="31"/>
      <c r="AA153" s="31"/>
      <c r="AB153" s="31"/>
      <c r="AC153" s="31"/>
    </row>
    <row r="154" spans="1:29" ht="18">
      <c r="A154" s="18"/>
      <c r="B154" s="13"/>
      <c r="C154" s="31"/>
      <c r="D154" s="31"/>
      <c r="E154" s="31"/>
      <c r="F154" s="31"/>
      <c r="G154" s="31"/>
      <c r="H154" s="31"/>
      <c r="I154" s="31"/>
      <c r="J154" s="31"/>
      <c r="K154" s="31"/>
      <c r="L154" s="31"/>
      <c r="M154" s="31"/>
      <c r="N154" s="31"/>
      <c r="P154" s="18"/>
      <c r="Q154" s="13"/>
      <c r="R154" s="31"/>
      <c r="S154" s="31"/>
      <c r="T154" s="31"/>
      <c r="U154" s="31"/>
      <c r="V154" s="31"/>
      <c r="W154" s="31"/>
      <c r="X154" s="31"/>
      <c r="Y154" s="31"/>
      <c r="Z154" s="31"/>
      <c r="AA154" s="31"/>
      <c r="AB154" s="31"/>
      <c r="AC154" s="31"/>
    </row>
    <row r="155" spans="1:29" ht="18">
      <c r="A155" s="18"/>
      <c r="B155" s="13"/>
      <c r="C155" s="31"/>
      <c r="D155" s="31"/>
      <c r="E155" s="31"/>
      <c r="F155" s="31"/>
      <c r="G155" s="31"/>
      <c r="H155" s="31"/>
      <c r="I155" s="31"/>
      <c r="J155" s="31"/>
      <c r="K155" s="31"/>
      <c r="L155" s="31"/>
      <c r="M155" s="31"/>
      <c r="N155" s="31"/>
      <c r="P155" s="18"/>
      <c r="Q155" s="13"/>
      <c r="R155" s="31"/>
      <c r="S155" s="31"/>
      <c r="T155" s="31"/>
      <c r="U155" s="31"/>
      <c r="V155" s="31"/>
      <c r="W155" s="31"/>
      <c r="X155" s="31"/>
      <c r="Y155" s="31"/>
      <c r="Z155" s="31"/>
      <c r="AA155" s="31"/>
      <c r="AB155" s="31"/>
      <c r="AC155" s="31"/>
    </row>
    <row r="156" spans="1:29" ht="18">
      <c r="A156" s="18"/>
      <c r="B156" s="13"/>
      <c r="C156" s="31"/>
      <c r="D156" s="31"/>
      <c r="E156" s="31"/>
      <c r="F156" s="31"/>
      <c r="G156" s="31"/>
      <c r="H156" s="31"/>
      <c r="I156" s="31"/>
      <c r="J156" s="31"/>
      <c r="K156" s="31"/>
      <c r="L156" s="31"/>
      <c r="M156" s="31"/>
      <c r="N156" s="31"/>
      <c r="P156" s="18"/>
      <c r="Q156" s="13"/>
      <c r="R156" s="31"/>
      <c r="S156" s="31"/>
      <c r="T156" s="31"/>
      <c r="U156" s="31"/>
      <c r="V156" s="31"/>
      <c r="W156" s="31"/>
      <c r="X156" s="31"/>
      <c r="Y156" s="31"/>
      <c r="Z156" s="31"/>
      <c r="AA156" s="31"/>
      <c r="AB156" s="31"/>
      <c r="AC156" s="31"/>
    </row>
    <row r="157" spans="1:29" ht="18">
      <c r="A157" s="18"/>
      <c r="B157" s="13"/>
      <c r="C157" s="31"/>
      <c r="D157" s="31"/>
      <c r="E157" s="31"/>
      <c r="F157" s="31"/>
      <c r="G157" s="31"/>
      <c r="H157" s="31"/>
      <c r="I157" s="31"/>
      <c r="J157" s="31"/>
      <c r="K157" s="31"/>
      <c r="L157" s="31"/>
      <c r="M157" s="31"/>
      <c r="N157" s="31"/>
      <c r="P157" s="18"/>
      <c r="Q157" s="13"/>
      <c r="R157" s="31"/>
      <c r="S157" s="31"/>
      <c r="T157" s="31"/>
      <c r="U157" s="31"/>
      <c r="V157" s="31"/>
      <c r="W157" s="31"/>
      <c r="X157" s="31"/>
      <c r="Y157" s="31"/>
      <c r="Z157" s="31"/>
      <c r="AA157" s="31"/>
      <c r="AB157" s="31"/>
      <c r="AC157" s="31"/>
    </row>
    <row r="158" spans="1:29" ht="18">
      <c r="A158" s="18"/>
      <c r="B158" s="13"/>
      <c r="C158" s="31"/>
      <c r="D158" s="31"/>
      <c r="E158" s="31"/>
      <c r="F158" s="31"/>
      <c r="G158" s="31"/>
      <c r="H158" s="31"/>
      <c r="I158" s="31"/>
      <c r="J158" s="31"/>
      <c r="K158" s="31"/>
      <c r="L158" s="31"/>
      <c r="M158" s="31"/>
      <c r="N158" s="31"/>
      <c r="P158" s="18"/>
      <c r="Q158" s="13"/>
      <c r="R158" s="31"/>
      <c r="S158" s="31"/>
      <c r="T158" s="31"/>
      <c r="U158" s="31"/>
      <c r="V158" s="31"/>
      <c r="W158" s="31"/>
      <c r="X158" s="31"/>
      <c r="Y158" s="31"/>
      <c r="Z158" s="31"/>
      <c r="AA158" s="31"/>
      <c r="AB158" s="31"/>
      <c r="AC158" s="31"/>
    </row>
    <row r="159" spans="1:29" ht="18">
      <c r="A159" s="18"/>
      <c r="B159" s="13"/>
      <c r="C159" s="31"/>
      <c r="D159" s="31"/>
      <c r="E159" s="31"/>
      <c r="F159" s="31"/>
      <c r="G159" s="31"/>
      <c r="H159" s="31"/>
      <c r="I159" s="31"/>
      <c r="J159" s="31"/>
      <c r="K159" s="31"/>
      <c r="L159" s="31"/>
      <c r="M159" s="31"/>
      <c r="N159" s="31"/>
      <c r="P159" s="18"/>
      <c r="Q159" s="13"/>
      <c r="R159" s="31"/>
      <c r="S159" s="31"/>
      <c r="T159" s="31"/>
      <c r="U159" s="31"/>
      <c r="V159" s="31"/>
      <c r="W159" s="31"/>
      <c r="X159" s="31"/>
      <c r="Y159" s="31"/>
      <c r="Z159" s="31"/>
      <c r="AA159" s="31"/>
      <c r="AB159" s="31"/>
      <c r="AC159" s="31"/>
    </row>
    <row r="160" spans="1:29" ht="18">
      <c r="A160" s="18"/>
      <c r="B160" s="13"/>
      <c r="C160" s="31"/>
      <c r="D160" s="31"/>
      <c r="E160" s="31"/>
      <c r="F160" s="31"/>
      <c r="G160" s="31"/>
      <c r="H160" s="31"/>
      <c r="I160" s="31"/>
      <c r="J160" s="31"/>
      <c r="K160" s="31"/>
      <c r="L160" s="31"/>
      <c r="M160" s="31"/>
      <c r="N160" s="31"/>
      <c r="P160" s="18"/>
      <c r="Q160" s="13"/>
      <c r="R160" s="31"/>
      <c r="S160" s="31"/>
      <c r="T160" s="31"/>
      <c r="U160" s="31"/>
      <c r="V160" s="31"/>
      <c r="W160" s="31"/>
      <c r="X160" s="31"/>
      <c r="Y160" s="31"/>
      <c r="Z160" s="31"/>
      <c r="AA160" s="31"/>
      <c r="AB160" s="31"/>
      <c r="AC160" s="31"/>
    </row>
    <row r="161" spans="1:29" ht="18">
      <c r="A161" s="18"/>
      <c r="B161" s="13"/>
      <c r="C161" s="31"/>
      <c r="D161" s="31"/>
      <c r="E161" s="31"/>
      <c r="F161" s="31"/>
      <c r="G161" s="31"/>
      <c r="H161" s="31"/>
      <c r="I161" s="31"/>
      <c r="J161" s="31"/>
      <c r="K161" s="31"/>
      <c r="L161" s="31"/>
      <c r="M161" s="31"/>
      <c r="N161" s="31"/>
      <c r="P161" s="18"/>
      <c r="Q161" s="13"/>
      <c r="R161" s="31"/>
      <c r="S161" s="31"/>
      <c r="T161" s="31"/>
      <c r="U161" s="31"/>
      <c r="V161" s="31"/>
      <c r="W161" s="31"/>
      <c r="X161" s="31"/>
      <c r="Y161" s="31"/>
      <c r="Z161" s="31"/>
      <c r="AA161" s="31"/>
      <c r="AB161" s="31"/>
      <c r="AC161" s="31"/>
    </row>
    <row r="162" spans="1:29" ht="18">
      <c r="A162" s="18"/>
      <c r="B162" s="13"/>
      <c r="C162" s="31"/>
      <c r="D162" s="31"/>
      <c r="E162" s="31"/>
      <c r="F162" s="31"/>
      <c r="G162" s="31"/>
      <c r="H162" s="31"/>
      <c r="I162" s="31"/>
      <c r="J162" s="31"/>
      <c r="K162" s="31"/>
      <c r="L162" s="31"/>
      <c r="M162" s="31"/>
      <c r="N162" s="31"/>
      <c r="P162" s="18"/>
      <c r="Q162" s="13"/>
      <c r="R162" s="31"/>
      <c r="S162" s="31"/>
      <c r="T162" s="31"/>
      <c r="U162" s="31"/>
      <c r="V162" s="31"/>
      <c r="W162" s="31"/>
      <c r="X162" s="31"/>
      <c r="Y162" s="31"/>
      <c r="Z162" s="31"/>
      <c r="AA162" s="31"/>
      <c r="AB162" s="31"/>
      <c r="AC162" s="31"/>
    </row>
    <row r="163" spans="1:29" ht="18">
      <c r="A163" s="18"/>
      <c r="B163" s="13"/>
      <c r="C163" s="31"/>
      <c r="D163" s="31"/>
      <c r="E163" s="31"/>
      <c r="F163" s="31"/>
      <c r="G163" s="31"/>
      <c r="H163" s="31"/>
      <c r="I163" s="31"/>
      <c r="J163" s="31"/>
      <c r="K163" s="31"/>
      <c r="L163" s="31"/>
      <c r="M163" s="31"/>
      <c r="N163" s="31"/>
      <c r="P163" s="18"/>
      <c r="Q163" s="13"/>
      <c r="R163" s="31"/>
      <c r="S163" s="31"/>
      <c r="T163" s="31"/>
      <c r="U163" s="31"/>
      <c r="V163" s="31"/>
      <c r="W163" s="31"/>
      <c r="X163" s="31"/>
      <c r="Y163" s="31"/>
      <c r="Z163" s="31"/>
      <c r="AA163" s="31"/>
      <c r="AB163" s="31"/>
      <c r="AC163" s="31"/>
    </row>
    <row r="164" spans="1:29" ht="18">
      <c r="A164" s="18"/>
      <c r="B164" s="13"/>
      <c r="C164" s="31"/>
      <c r="D164" s="31"/>
      <c r="E164" s="31"/>
      <c r="F164" s="31"/>
      <c r="G164" s="31"/>
      <c r="H164" s="31"/>
      <c r="I164" s="31"/>
      <c r="J164" s="31"/>
      <c r="K164" s="31"/>
      <c r="L164" s="31"/>
      <c r="M164" s="31"/>
      <c r="N164" s="31"/>
      <c r="P164" s="18"/>
      <c r="Q164" s="13"/>
      <c r="R164" s="31"/>
      <c r="S164" s="31"/>
      <c r="T164" s="31"/>
      <c r="U164" s="31"/>
      <c r="V164" s="31"/>
      <c r="W164" s="31"/>
      <c r="X164" s="31"/>
      <c r="Y164" s="31"/>
      <c r="Z164" s="31"/>
      <c r="AA164" s="31"/>
      <c r="AB164" s="31"/>
      <c r="AC164" s="31"/>
    </row>
    <row r="165" spans="1:29" ht="18">
      <c r="A165" s="18"/>
      <c r="B165" s="13"/>
      <c r="C165" s="31"/>
      <c r="D165" s="31"/>
      <c r="E165" s="31"/>
      <c r="F165" s="31"/>
      <c r="G165" s="31"/>
      <c r="H165" s="31"/>
      <c r="I165" s="31"/>
      <c r="J165" s="31"/>
      <c r="K165" s="31"/>
      <c r="L165" s="31"/>
      <c r="M165" s="31"/>
      <c r="N165" s="31"/>
      <c r="P165" s="18"/>
      <c r="Q165" s="13"/>
      <c r="R165" s="31"/>
      <c r="S165" s="31"/>
      <c r="T165" s="31"/>
      <c r="U165" s="31"/>
      <c r="V165" s="31"/>
      <c r="W165" s="31"/>
      <c r="X165" s="31"/>
      <c r="Y165" s="31"/>
      <c r="Z165" s="31"/>
      <c r="AA165" s="31"/>
      <c r="AB165" s="31"/>
      <c r="AC165" s="31"/>
    </row>
    <row r="166" spans="1:29" ht="18">
      <c r="A166" s="18"/>
      <c r="B166" s="13"/>
      <c r="C166" s="31"/>
      <c r="D166" s="31"/>
      <c r="E166" s="31"/>
      <c r="F166" s="31"/>
      <c r="G166" s="31"/>
      <c r="H166" s="31"/>
      <c r="I166" s="31"/>
      <c r="J166" s="31"/>
      <c r="K166" s="31"/>
      <c r="L166" s="31"/>
      <c r="M166" s="31"/>
      <c r="N166" s="31"/>
      <c r="P166" s="18"/>
      <c r="Q166" s="13"/>
      <c r="R166" s="31"/>
      <c r="S166" s="31"/>
      <c r="T166" s="31"/>
      <c r="U166" s="31"/>
      <c r="V166" s="31"/>
      <c r="W166" s="31"/>
      <c r="X166" s="31"/>
      <c r="Y166" s="31"/>
      <c r="Z166" s="31"/>
      <c r="AA166" s="31"/>
      <c r="AB166" s="31"/>
      <c r="AC166" s="31"/>
    </row>
    <row r="167" spans="1:29" ht="18">
      <c r="A167" s="18"/>
      <c r="B167" s="13"/>
      <c r="C167" s="31"/>
      <c r="D167" s="31"/>
      <c r="E167" s="31"/>
      <c r="F167" s="31"/>
      <c r="G167" s="31"/>
      <c r="H167" s="31"/>
      <c r="I167" s="31"/>
      <c r="J167" s="31"/>
      <c r="K167" s="31"/>
      <c r="L167" s="31"/>
      <c r="M167" s="31"/>
      <c r="N167" s="31"/>
      <c r="P167" s="18"/>
      <c r="Q167" s="13"/>
      <c r="R167" s="31"/>
      <c r="S167" s="31"/>
      <c r="T167" s="31"/>
      <c r="U167" s="31"/>
      <c r="V167" s="31"/>
      <c r="W167" s="31"/>
      <c r="X167" s="31"/>
      <c r="Y167" s="31"/>
      <c r="Z167" s="31"/>
      <c r="AA167" s="31"/>
      <c r="AB167" s="31"/>
      <c r="AC167" s="31"/>
    </row>
    <row r="168" spans="1:29" ht="18">
      <c r="A168" s="18"/>
      <c r="B168" s="13"/>
      <c r="C168" s="31"/>
      <c r="D168" s="31"/>
      <c r="E168" s="31"/>
      <c r="F168" s="31"/>
      <c r="G168" s="31"/>
      <c r="H168" s="31"/>
      <c r="I168" s="31"/>
      <c r="J168" s="31"/>
      <c r="K168" s="31"/>
      <c r="L168" s="31"/>
      <c r="M168" s="31"/>
      <c r="N168" s="31"/>
      <c r="P168" s="18"/>
      <c r="Q168" s="13"/>
      <c r="R168" s="31"/>
      <c r="S168" s="31"/>
      <c r="T168" s="31"/>
      <c r="U168" s="31"/>
      <c r="V168" s="31"/>
      <c r="W168" s="31"/>
      <c r="X168" s="31"/>
      <c r="Y168" s="31"/>
      <c r="Z168" s="31"/>
      <c r="AA168" s="31"/>
      <c r="AB168" s="31"/>
      <c r="AC168" s="31"/>
    </row>
    <row r="169" spans="1:29" ht="18">
      <c r="A169" s="18"/>
      <c r="B169" s="13"/>
      <c r="C169" s="31"/>
      <c r="D169" s="31"/>
      <c r="E169" s="31"/>
      <c r="F169" s="31"/>
      <c r="G169" s="31"/>
      <c r="H169" s="31"/>
      <c r="I169" s="31"/>
      <c r="J169" s="31"/>
      <c r="K169" s="31"/>
      <c r="L169" s="31"/>
      <c r="M169" s="31"/>
      <c r="N169" s="31"/>
      <c r="P169" s="18"/>
      <c r="Q169" s="13"/>
      <c r="R169" s="31"/>
      <c r="S169" s="31"/>
      <c r="T169" s="31"/>
      <c r="U169" s="31"/>
      <c r="V169" s="31"/>
      <c r="W169" s="31"/>
      <c r="X169" s="31"/>
      <c r="Y169" s="31"/>
      <c r="Z169" s="31"/>
      <c r="AA169" s="31"/>
      <c r="AB169" s="31"/>
      <c r="AC169" s="31"/>
    </row>
    <row r="170" spans="1:29" ht="18">
      <c r="A170" s="18"/>
      <c r="B170" s="13"/>
      <c r="C170" s="31"/>
      <c r="D170" s="31"/>
      <c r="E170" s="31"/>
      <c r="F170" s="31"/>
      <c r="G170" s="31"/>
      <c r="H170" s="31"/>
      <c r="I170" s="31"/>
      <c r="J170" s="31"/>
      <c r="K170" s="31"/>
      <c r="L170" s="31"/>
      <c r="M170" s="31"/>
      <c r="N170" s="31"/>
      <c r="P170" s="18"/>
      <c r="Q170" s="13"/>
      <c r="R170" s="31"/>
      <c r="S170" s="31"/>
      <c r="T170" s="31"/>
      <c r="U170" s="31"/>
      <c r="V170" s="31"/>
      <c r="W170" s="31"/>
      <c r="X170" s="31"/>
      <c r="Y170" s="31"/>
      <c r="Z170" s="31"/>
      <c r="AA170" s="31"/>
      <c r="AB170" s="31"/>
      <c r="AC170" s="31"/>
    </row>
    <row r="171" spans="1:29" ht="18">
      <c r="A171" s="18"/>
      <c r="B171" s="13"/>
      <c r="C171" s="31"/>
      <c r="D171" s="31"/>
      <c r="E171" s="31"/>
      <c r="F171" s="31"/>
      <c r="G171" s="31"/>
      <c r="H171" s="31"/>
      <c r="I171" s="31"/>
      <c r="J171" s="31"/>
      <c r="K171" s="31"/>
      <c r="L171" s="31"/>
      <c r="M171" s="31"/>
      <c r="N171" s="31"/>
      <c r="P171" s="18"/>
      <c r="Q171" s="13"/>
      <c r="R171" s="31"/>
      <c r="S171" s="31"/>
      <c r="T171" s="31"/>
      <c r="U171" s="31"/>
      <c r="V171" s="31"/>
      <c r="W171" s="31"/>
      <c r="X171" s="31"/>
      <c r="Y171" s="31"/>
      <c r="Z171" s="31"/>
      <c r="AA171" s="31"/>
      <c r="AB171" s="31"/>
      <c r="AC171" s="31"/>
    </row>
    <row r="172" spans="1:29" ht="18">
      <c r="A172" s="18"/>
      <c r="B172" s="13"/>
      <c r="C172" s="31"/>
      <c r="D172" s="31"/>
      <c r="E172" s="31"/>
      <c r="F172" s="31"/>
      <c r="G172" s="31"/>
      <c r="H172" s="31"/>
      <c r="I172" s="31"/>
      <c r="J172" s="31"/>
      <c r="K172" s="31"/>
      <c r="L172" s="31"/>
      <c r="M172" s="31"/>
      <c r="N172" s="31"/>
      <c r="P172" s="18"/>
      <c r="Q172" s="13"/>
      <c r="R172" s="31"/>
      <c r="S172" s="31"/>
      <c r="T172" s="31"/>
      <c r="U172" s="31"/>
      <c r="V172" s="31"/>
      <c r="W172" s="31"/>
      <c r="X172" s="31"/>
      <c r="Y172" s="31"/>
      <c r="Z172" s="31"/>
      <c r="AA172" s="31"/>
      <c r="AB172" s="31"/>
      <c r="AC172" s="31"/>
    </row>
    <row r="173" spans="1:29" ht="18">
      <c r="A173" s="18"/>
      <c r="B173" s="13"/>
      <c r="C173" s="31"/>
      <c r="D173" s="31"/>
      <c r="E173" s="31"/>
      <c r="F173" s="31"/>
      <c r="G173" s="31"/>
      <c r="H173" s="31"/>
      <c r="I173" s="31"/>
      <c r="J173" s="31"/>
      <c r="K173" s="31"/>
      <c r="L173" s="31"/>
      <c r="M173" s="31"/>
      <c r="N173" s="31"/>
      <c r="P173" s="18"/>
      <c r="Q173" s="13"/>
      <c r="R173" s="31"/>
      <c r="S173" s="31"/>
      <c r="T173" s="31"/>
      <c r="U173" s="31"/>
      <c r="V173" s="31"/>
      <c r="W173" s="31"/>
      <c r="X173" s="31"/>
      <c r="Y173" s="31"/>
      <c r="Z173" s="31"/>
      <c r="AA173" s="31"/>
      <c r="AB173" s="31"/>
      <c r="AC173" s="31"/>
    </row>
    <row r="174" spans="1:29" ht="18">
      <c r="A174" s="18"/>
      <c r="B174" s="13"/>
      <c r="C174" s="31"/>
      <c r="D174" s="31"/>
      <c r="E174" s="31"/>
      <c r="F174" s="31"/>
      <c r="G174" s="31"/>
      <c r="H174" s="31"/>
      <c r="I174" s="31"/>
      <c r="J174" s="31"/>
      <c r="K174" s="31"/>
      <c r="L174" s="31"/>
      <c r="M174" s="31"/>
      <c r="N174" s="31"/>
      <c r="P174" s="18"/>
      <c r="Q174" s="13"/>
      <c r="R174" s="31"/>
      <c r="S174" s="31"/>
      <c r="T174" s="31"/>
      <c r="U174" s="31"/>
      <c r="V174" s="31"/>
      <c r="W174" s="31"/>
      <c r="X174" s="31"/>
      <c r="Y174" s="31"/>
      <c r="Z174" s="31"/>
      <c r="AA174" s="31"/>
      <c r="AB174" s="31"/>
      <c r="AC174" s="31"/>
    </row>
    <row r="175" spans="1:29" ht="18">
      <c r="A175" s="18"/>
      <c r="B175" s="13"/>
      <c r="C175" s="31"/>
      <c r="D175" s="31"/>
      <c r="E175" s="31"/>
      <c r="F175" s="31"/>
      <c r="G175" s="31"/>
      <c r="H175" s="31"/>
      <c r="I175" s="31"/>
      <c r="J175" s="31"/>
      <c r="K175" s="31"/>
      <c r="L175" s="31"/>
      <c r="M175" s="31"/>
      <c r="N175" s="31"/>
      <c r="P175" s="18"/>
      <c r="Q175" s="13"/>
      <c r="R175" s="31"/>
      <c r="S175" s="31"/>
      <c r="T175" s="31"/>
      <c r="U175" s="31"/>
      <c r="V175" s="31"/>
      <c r="W175" s="31"/>
      <c r="X175" s="31"/>
      <c r="Y175" s="31"/>
      <c r="Z175" s="31"/>
      <c r="AA175" s="31"/>
      <c r="AB175" s="31"/>
      <c r="AC175" s="31"/>
    </row>
    <row r="176" spans="1:29" ht="18">
      <c r="A176" s="18"/>
      <c r="B176" s="13"/>
      <c r="C176" s="31"/>
      <c r="D176" s="31"/>
      <c r="E176" s="31"/>
      <c r="F176" s="31"/>
      <c r="G176" s="31"/>
      <c r="H176" s="31"/>
      <c r="I176" s="31"/>
      <c r="J176" s="31"/>
      <c r="K176" s="31"/>
      <c r="L176" s="31"/>
      <c r="M176" s="31"/>
      <c r="N176" s="31"/>
      <c r="P176" s="18"/>
      <c r="Q176" s="13"/>
      <c r="R176" s="31"/>
      <c r="S176" s="31"/>
      <c r="T176" s="31"/>
      <c r="U176" s="31"/>
      <c r="V176" s="31"/>
      <c r="W176" s="31"/>
      <c r="X176" s="31"/>
      <c r="Y176" s="31"/>
      <c r="Z176" s="31"/>
      <c r="AA176" s="31"/>
      <c r="AB176" s="31"/>
      <c r="AC176" s="31"/>
    </row>
    <row r="177" spans="1:29" ht="18">
      <c r="A177" s="18"/>
      <c r="B177" s="13"/>
      <c r="C177" s="31"/>
      <c r="D177" s="31"/>
      <c r="E177" s="31"/>
      <c r="F177" s="31"/>
      <c r="G177" s="31"/>
      <c r="H177" s="31"/>
      <c r="I177" s="31"/>
      <c r="J177" s="31"/>
      <c r="K177" s="31"/>
      <c r="L177" s="31"/>
      <c r="M177" s="31"/>
      <c r="N177" s="31"/>
      <c r="P177" s="18"/>
      <c r="Q177" s="13"/>
      <c r="R177" s="31"/>
      <c r="S177" s="31"/>
      <c r="T177" s="31"/>
      <c r="U177" s="31"/>
      <c r="V177" s="31"/>
      <c r="W177" s="31"/>
      <c r="X177" s="31"/>
      <c r="Y177" s="31"/>
      <c r="Z177" s="31"/>
      <c r="AA177" s="31"/>
      <c r="AB177" s="31"/>
      <c r="AC177" s="31"/>
    </row>
    <row r="178" spans="1:29" ht="18">
      <c r="A178" s="18"/>
      <c r="B178" s="13"/>
      <c r="C178" s="31"/>
      <c r="D178" s="31"/>
      <c r="E178" s="31"/>
      <c r="F178" s="31"/>
      <c r="G178" s="31"/>
      <c r="H178" s="31"/>
      <c r="I178" s="31"/>
      <c r="J178" s="31"/>
      <c r="K178" s="31"/>
      <c r="L178" s="31"/>
      <c r="M178" s="31"/>
      <c r="N178" s="31"/>
      <c r="P178" s="18"/>
      <c r="Q178" s="13"/>
      <c r="R178" s="31"/>
      <c r="S178" s="31"/>
      <c r="T178" s="31"/>
      <c r="U178" s="31"/>
      <c r="V178" s="31"/>
      <c r="W178" s="31"/>
      <c r="X178" s="31"/>
      <c r="Y178" s="31"/>
      <c r="Z178" s="31"/>
      <c r="AA178" s="31"/>
      <c r="AB178" s="31"/>
      <c r="AC178" s="31"/>
    </row>
    <row r="179" spans="1:29" ht="18">
      <c r="A179" s="18"/>
      <c r="B179" s="13"/>
      <c r="C179" s="31"/>
      <c r="D179" s="31"/>
      <c r="E179" s="31"/>
      <c r="F179" s="31"/>
      <c r="G179" s="31"/>
      <c r="H179" s="31"/>
      <c r="I179" s="31"/>
      <c r="J179" s="31"/>
      <c r="K179" s="31"/>
      <c r="L179" s="31"/>
      <c r="M179" s="31"/>
      <c r="N179" s="31"/>
      <c r="P179" s="18"/>
      <c r="Q179" s="13"/>
      <c r="R179" s="31"/>
      <c r="S179" s="31"/>
      <c r="T179" s="31"/>
      <c r="U179" s="31"/>
      <c r="V179" s="31"/>
      <c r="W179" s="31"/>
      <c r="X179" s="31"/>
      <c r="Y179" s="31"/>
      <c r="Z179" s="31"/>
      <c r="AA179" s="31"/>
      <c r="AB179" s="31"/>
      <c r="AC179" s="31"/>
    </row>
    <row r="180" spans="1:30" ht="18">
      <c r="A180" s="24" t="str">
        <f>+A1</f>
        <v>MyCo</v>
      </c>
      <c r="B180" s="19"/>
      <c r="C180" s="19"/>
      <c r="D180" s="19"/>
      <c r="E180" s="19"/>
      <c r="F180" s="19"/>
      <c r="G180" s="19"/>
      <c r="H180" s="19"/>
      <c r="I180" s="19"/>
      <c r="J180" s="19"/>
      <c r="K180" s="19"/>
      <c r="L180" s="19"/>
      <c r="M180" s="19"/>
      <c r="N180" s="19"/>
      <c r="O180" s="64" t="str">
        <f>+O$1</f>
        <v>Draft 1.0</v>
      </c>
      <c r="P180" s="24" t="str">
        <f>+P1</f>
        <v>MyCo</v>
      </c>
      <c r="Q180" s="19"/>
      <c r="R180" s="19"/>
      <c r="S180" s="19"/>
      <c r="T180" s="19"/>
      <c r="U180" s="19"/>
      <c r="V180" s="19"/>
      <c r="W180" s="19"/>
      <c r="X180" s="19"/>
      <c r="Y180" s="19"/>
      <c r="Z180" s="19"/>
      <c r="AA180" s="19"/>
      <c r="AB180" s="19"/>
      <c r="AC180" s="19"/>
      <c r="AD180" s="64" t="str">
        <f>+AD$1</f>
        <v>Draft 1.0</v>
      </c>
    </row>
    <row r="181" spans="1:30" ht="23.25">
      <c r="A181" s="20" t="s">
        <v>127</v>
      </c>
      <c r="B181" s="19"/>
      <c r="C181" s="19"/>
      <c r="D181" s="19"/>
      <c r="E181" s="19"/>
      <c r="F181" s="19"/>
      <c r="G181" s="19"/>
      <c r="H181" s="19"/>
      <c r="I181" s="19"/>
      <c r="J181" s="19"/>
      <c r="K181" s="19"/>
      <c r="L181" s="19"/>
      <c r="M181" s="19"/>
      <c r="N181" s="25"/>
      <c r="O181" s="19"/>
      <c r="P181" s="20" t="str">
        <f>+A181</f>
        <v>BURN RATE - Chart</v>
      </c>
      <c r="Q181" s="19"/>
      <c r="R181" s="19"/>
      <c r="S181" s="19"/>
      <c r="T181" s="19"/>
      <c r="U181" s="19"/>
      <c r="V181" s="19"/>
      <c r="W181" s="19"/>
      <c r="X181" s="19"/>
      <c r="Y181" s="19"/>
      <c r="Z181" s="19"/>
      <c r="AA181" s="19"/>
      <c r="AB181" s="19"/>
      <c r="AC181" s="25"/>
      <c r="AD181" s="19"/>
    </row>
    <row r="182" spans="1:29" ht="18">
      <c r="A182" s="21">
        <f>+$A$3</f>
        <v>2022</v>
      </c>
      <c r="B182" s="18"/>
      <c r="C182" s="619">
        <f>IF(ISBLANK(Headcount!C$3),"",Headcount!C$3)</f>
      </c>
      <c r="D182" s="619">
        <f>IF(ISBLANK(Headcount!D$3),"",Headcount!D$3)</f>
      </c>
      <c r="E182" s="619">
        <f>IF(ISBLANK(Headcount!E$3),"",Headcount!E$3)</f>
      </c>
      <c r="F182" s="619">
        <f>IF(ISBLANK(Headcount!F$3),"",Headcount!F$3)</f>
      </c>
      <c r="G182" s="619">
        <f>IF(ISBLANK(Headcount!G$3),"",Headcount!G$3)</f>
      </c>
      <c r="H182" s="619">
        <f>IF(ISBLANK(Headcount!H$3),"",Headcount!H$3)</f>
      </c>
      <c r="I182" s="619">
        <f>IF(ISBLANK(Headcount!I$3),"",Headcount!I$3)</f>
      </c>
      <c r="J182" s="619">
        <f>IF(ISBLANK(Headcount!J$3),"",Headcount!J$3)</f>
      </c>
      <c r="K182" s="619">
        <f>IF(ISBLANK(Headcount!K$3),"",Headcount!K$3)</f>
      </c>
      <c r="L182" s="619">
        <f>IF(ISBLANK(Headcount!L$3),"",Headcount!L$3)</f>
      </c>
      <c r="M182" s="619">
        <f>IF(ISBLANK(Headcount!M$3),"",Headcount!M$3)</f>
      </c>
      <c r="N182" s="619">
        <f>IF(ISBLANK(Headcount!N$3),"",Headcount!N$3)</f>
      </c>
      <c r="P182" s="21">
        <f>+P$3</f>
        <v>2023</v>
      </c>
      <c r="Q182" s="18"/>
      <c r="R182" s="619">
        <f>IF(ISBLANK(Headcount!R$3),"",Headcount!R$3)</f>
      </c>
      <c r="S182" s="619">
        <f>IF(ISBLANK(Headcount!S$3),"",Headcount!S$3)</f>
      </c>
      <c r="T182" s="619">
        <f>IF(ISBLANK(Headcount!T$3),"",Headcount!T$3)</f>
      </c>
      <c r="U182" s="619">
        <f>IF(ISBLANK(Headcount!U$3),"",Headcount!U$3)</f>
      </c>
      <c r="V182" s="619">
        <f>IF(ISBLANK(Headcount!V$3),"",Headcount!V$3)</f>
      </c>
      <c r="W182" s="619">
        <f>IF(ISBLANK(Headcount!W$3),"",Headcount!W$3)</f>
      </c>
      <c r="X182" s="619">
        <f>IF(ISBLANK(Headcount!X$3),"",Headcount!X$3)</f>
      </c>
      <c r="Y182" s="619">
        <f>IF(ISBLANK(Headcount!Y$3),"",Headcount!Y$3)</f>
      </c>
      <c r="Z182" s="619">
        <f>IF(ISBLANK(Headcount!Z$3),"",Headcount!Z$3)</f>
      </c>
      <c r="AA182" s="619">
        <f>IF(ISBLANK(Headcount!AA$3),"",Headcount!AA$3)</f>
      </c>
      <c r="AB182" s="619">
        <f>IF(ISBLANK(Headcount!AB$3),"",Headcount!AB$3)</f>
      </c>
      <c r="AC182" s="619">
        <f>IF(ISBLANK(Headcount!AC$3),"",Headcount!AC$3)</f>
      </c>
    </row>
    <row r="183" spans="1:29" ht="18">
      <c r="A183" s="18"/>
      <c r="B183" s="37"/>
      <c r="C183" s="22" t="str">
        <f>IF(ISBLANK(Headcount!C$4),"",Headcount!C$4)</f>
        <v>Month</v>
      </c>
      <c r="D183" s="22" t="str">
        <f>IF(ISBLANK(Headcount!D$4),"",Headcount!D$4)</f>
        <v>Actual</v>
      </c>
      <c r="E183" s="22" t="str">
        <f>IF(ISBLANK(Headcount!E$4),"",Headcount!E$4)</f>
        <v>Actual</v>
      </c>
      <c r="F183" s="22" t="str">
        <f>IF(ISBLANK(Headcount!F$4),"",Headcount!F$4)</f>
        <v>Forecast</v>
      </c>
      <c r="G183" s="22" t="str">
        <f>IF(ISBLANK(Headcount!G$4),"",Headcount!G$4)</f>
        <v>Forecast</v>
      </c>
      <c r="H183" s="22" t="str">
        <f>IF(ISBLANK(Headcount!H$4),"",Headcount!H$4)</f>
        <v>Forecast</v>
      </c>
      <c r="I183" s="22" t="str">
        <f>IF(ISBLANK(Headcount!I$4),"",Headcount!I$4)</f>
        <v>Forecast</v>
      </c>
      <c r="J183" s="22" t="str">
        <f>IF(ISBLANK(Headcount!J$4),"",Headcount!J$4)</f>
        <v>Forecast</v>
      </c>
      <c r="K183" s="22" t="str">
        <f>IF(ISBLANK(Headcount!K$4),"",Headcount!K$4)</f>
        <v>Forecast</v>
      </c>
      <c r="L183" s="22" t="str">
        <f>IF(ISBLANK(Headcount!L$4),"",Headcount!L$4)</f>
        <v>Forecast</v>
      </c>
      <c r="M183" s="22" t="str">
        <f>IF(ISBLANK(Headcount!M$4),"",Headcount!M$4)</f>
        <v>Forecast</v>
      </c>
      <c r="N183" s="22" t="str">
        <f>IF(ISBLANK(Headcount!N$4),"",Headcount!N$4)</f>
        <v>Forecast</v>
      </c>
      <c r="P183" s="18"/>
      <c r="Q183" s="37"/>
      <c r="R183" s="22" t="str">
        <f>IF(ISBLANK(Headcount!R$4),"",Headcount!R$4)</f>
        <v>Forecast</v>
      </c>
      <c r="S183" s="22" t="str">
        <f>IF(ISBLANK(Headcount!S$4),"",Headcount!S$4)</f>
        <v>Forecast</v>
      </c>
      <c r="T183" s="22" t="str">
        <f>IF(ISBLANK(Headcount!T$4),"",Headcount!T$4)</f>
        <v>Forecast</v>
      </c>
      <c r="U183" s="22" t="str">
        <f>IF(ISBLANK(Headcount!U$4),"",Headcount!U$4)</f>
        <v>Forecast</v>
      </c>
      <c r="V183" s="22" t="str">
        <f>IF(ISBLANK(Headcount!V$4),"",Headcount!V$4)</f>
        <v>Forecast</v>
      </c>
      <c r="W183" s="22" t="str">
        <f>IF(ISBLANK(Headcount!W$4),"",Headcount!W$4)</f>
        <v>Forecast</v>
      </c>
      <c r="X183" s="22" t="str">
        <f>IF(ISBLANK(Headcount!X$4),"",Headcount!X$4)</f>
        <v>Forecast</v>
      </c>
      <c r="Y183" s="22" t="str">
        <f>IF(ISBLANK(Headcount!Y$4),"",Headcount!Y$4)</f>
        <v>Forecast</v>
      </c>
      <c r="Z183" s="22" t="str">
        <f>IF(ISBLANK(Headcount!Z$4),"",Headcount!Z$4)</f>
        <v>Forecast</v>
      </c>
      <c r="AA183" s="22" t="str">
        <f>IF(ISBLANK(Headcount!AA$4),"",Headcount!AA$4)</f>
        <v>Forecast</v>
      </c>
      <c r="AB183" s="22" t="str">
        <f>IF(ISBLANK(Headcount!AB$4),"",Headcount!AB$4)</f>
        <v>Forecast</v>
      </c>
      <c r="AC183" s="22" t="str">
        <f>IF(ISBLANK(Headcount!AC$4),"",Headcount!AC$4)</f>
        <v>Forecast</v>
      </c>
    </row>
    <row r="184" spans="1:29" ht="18.75" thickBot="1">
      <c r="A184" s="26"/>
      <c r="B184" s="38"/>
      <c r="C184" s="157" t="str">
        <f>+Headcount!C$5</f>
        <v>Jan</v>
      </c>
      <c r="D184" s="157" t="str">
        <f>+Headcount!D$5</f>
        <v>Feb</v>
      </c>
      <c r="E184" s="157" t="str">
        <f>+Headcount!E$5</f>
        <v>Mar</v>
      </c>
      <c r="F184" s="157" t="str">
        <f>+Headcount!F$5</f>
        <v>Apr</v>
      </c>
      <c r="G184" s="157" t="str">
        <f>+Headcount!G$5</f>
        <v>May</v>
      </c>
      <c r="H184" s="157" t="str">
        <f>+Headcount!H$5</f>
        <v>Jun</v>
      </c>
      <c r="I184" s="157" t="str">
        <f>+Headcount!I$5</f>
        <v>Jul</v>
      </c>
      <c r="J184" s="157" t="str">
        <f>+Headcount!J$5</f>
        <v>Aug</v>
      </c>
      <c r="K184" s="157" t="str">
        <f>+Headcount!K$5</f>
        <v>Sep</v>
      </c>
      <c r="L184" s="157" t="str">
        <f>+Headcount!L$5</f>
        <v>Oct</v>
      </c>
      <c r="M184" s="157" t="str">
        <f>+Headcount!M$5</f>
        <v>Nov</v>
      </c>
      <c r="N184" s="157" t="str">
        <f>+Headcount!N$5</f>
        <v>Dec</v>
      </c>
      <c r="P184" s="26"/>
      <c r="Q184" s="38"/>
      <c r="R184" s="157" t="str">
        <f>+Headcount!R$5</f>
        <v>Jan</v>
      </c>
      <c r="S184" s="157" t="str">
        <f>+Headcount!S$5</f>
        <v>Feb</v>
      </c>
      <c r="T184" s="157" t="str">
        <f>+Headcount!T$5</f>
        <v>Mar</v>
      </c>
      <c r="U184" s="157" t="str">
        <f>+Headcount!U$5</f>
        <v>Apr</v>
      </c>
      <c r="V184" s="157" t="str">
        <f>+Headcount!V$5</f>
        <v>May</v>
      </c>
      <c r="W184" s="157" t="str">
        <f>+Headcount!W$5</f>
        <v>Jun</v>
      </c>
      <c r="X184" s="157" t="str">
        <f>+Headcount!X$5</f>
        <v>Jul</v>
      </c>
      <c r="Y184" s="157" t="str">
        <f>+Headcount!Y$5</f>
        <v>Aug</v>
      </c>
      <c r="Z184" s="157" t="str">
        <f>+Headcount!Z$5</f>
        <v>Sep</v>
      </c>
      <c r="AA184" s="157" t="str">
        <f>+Headcount!AA$5</f>
        <v>Oct</v>
      </c>
      <c r="AB184" s="157" t="str">
        <f>+Headcount!AB$5</f>
        <v>Nov</v>
      </c>
      <c r="AC184" s="157" t="str">
        <f>+Headcount!AC$5</f>
        <v>Dec</v>
      </c>
    </row>
    <row r="185" spans="1:29" ht="18">
      <c r="A185" s="18"/>
      <c r="B185" s="13"/>
      <c r="C185" s="31"/>
      <c r="D185" s="31"/>
      <c r="E185" s="31"/>
      <c r="F185" s="31"/>
      <c r="G185" s="31"/>
      <c r="H185" s="31"/>
      <c r="I185" s="31"/>
      <c r="J185" s="31"/>
      <c r="K185" s="31"/>
      <c r="L185" s="31"/>
      <c r="M185" s="31"/>
      <c r="N185" s="31"/>
      <c r="P185" s="18"/>
      <c r="Q185" s="13"/>
      <c r="R185" s="31"/>
      <c r="S185" s="31"/>
      <c r="T185" s="31"/>
      <c r="U185" s="31"/>
      <c r="V185" s="31"/>
      <c r="W185" s="31"/>
      <c r="X185" s="31"/>
      <c r="Y185" s="31"/>
      <c r="Z185" s="31"/>
      <c r="AA185" s="31"/>
      <c r="AB185" s="31"/>
      <c r="AC185" s="31"/>
    </row>
    <row r="186" spans="1:29" ht="18">
      <c r="A186" s="18" t="s">
        <v>74</v>
      </c>
      <c r="B186" s="13"/>
      <c r="C186" s="87">
        <f aca="true" t="shared" si="116" ref="C186:N186">+C37</f>
        <v>0</v>
      </c>
      <c r="D186" s="87">
        <f t="shared" si="116"/>
        <v>0</v>
      </c>
      <c r="E186" s="87">
        <f t="shared" si="116"/>
        <v>0</v>
      </c>
      <c r="F186" s="87">
        <f t="shared" si="116"/>
        <v>0</v>
      </c>
      <c r="G186" s="87">
        <f t="shared" si="116"/>
        <v>0</v>
      </c>
      <c r="H186" s="87">
        <f t="shared" si="116"/>
        <v>0</v>
      </c>
      <c r="I186" s="87">
        <f t="shared" si="116"/>
        <v>0</v>
      </c>
      <c r="J186" s="87">
        <f t="shared" si="116"/>
        <v>0</v>
      </c>
      <c r="K186" s="87">
        <f t="shared" si="116"/>
        <v>0</v>
      </c>
      <c r="L186" s="87">
        <f t="shared" si="116"/>
        <v>0</v>
      </c>
      <c r="M186" s="87">
        <f t="shared" si="116"/>
        <v>0</v>
      </c>
      <c r="N186" s="87">
        <f t="shared" si="116"/>
        <v>0</v>
      </c>
      <c r="P186" s="18" t="str">
        <f>+A186</f>
        <v>Operating Expenses</v>
      </c>
      <c r="Q186" s="13"/>
      <c r="R186" s="87">
        <f aca="true" t="shared" si="117" ref="R186:AC186">+R37</f>
        <v>0</v>
      </c>
      <c r="S186" s="87">
        <f t="shared" si="117"/>
        <v>0</v>
      </c>
      <c r="T186" s="87">
        <f t="shared" si="117"/>
        <v>0</v>
      </c>
      <c r="U186" s="87">
        <f t="shared" si="117"/>
        <v>0</v>
      </c>
      <c r="V186" s="87">
        <f t="shared" si="117"/>
        <v>0</v>
      </c>
      <c r="W186" s="87">
        <f t="shared" si="117"/>
        <v>0</v>
      </c>
      <c r="X186" s="87">
        <f t="shared" si="117"/>
        <v>0</v>
      </c>
      <c r="Y186" s="87">
        <f t="shared" si="117"/>
        <v>0</v>
      </c>
      <c r="Z186" s="87">
        <f t="shared" si="117"/>
        <v>0</v>
      </c>
      <c r="AA186" s="87">
        <f t="shared" si="117"/>
        <v>0</v>
      </c>
      <c r="AB186" s="87">
        <f t="shared" si="117"/>
        <v>0</v>
      </c>
      <c r="AC186" s="87">
        <f t="shared" si="117"/>
        <v>0</v>
      </c>
    </row>
    <row r="187" spans="1:29" ht="18">
      <c r="A187" s="18" t="s">
        <v>75</v>
      </c>
      <c r="B187" s="13"/>
      <c r="C187" s="87">
        <f aca="true" t="shared" si="118" ref="C187:N187">+C275</f>
        <v>0</v>
      </c>
      <c r="D187" s="87">
        <f t="shared" si="118"/>
        <v>0</v>
      </c>
      <c r="E187" s="87">
        <f t="shared" si="118"/>
        <v>0</v>
      </c>
      <c r="F187" s="87">
        <f t="shared" si="118"/>
        <v>0</v>
      </c>
      <c r="G187" s="87">
        <f t="shared" si="118"/>
        <v>0</v>
      </c>
      <c r="H187" s="87">
        <f t="shared" si="118"/>
        <v>0</v>
      </c>
      <c r="I187" s="87">
        <f t="shared" si="118"/>
        <v>0</v>
      </c>
      <c r="J187" s="87">
        <f t="shared" si="118"/>
        <v>0</v>
      </c>
      <c r="K187" s="87">
        <f t="shared" si="118"/>
        <v>0</v>
      </c>
      <c r="L187" s="87">
        <f t="shared" si="118"/>
        <v>0</v>
      </c>
      <c r="M187" s="87">
        <f t="shared" si="118"/>
        <v>0</v>
      </c>
      <c r="N187" s="87">
        <f t="shared" si="118"/>
        <v>0</v>
      </c>
      <c r="P187" s="18" t="str">
        <f>+A187</f>
        <v>Capital Lease Payments</v>
      </c>
      <c r="Q187" s="13"/>
      <c r="R187" s="87">
        <f aca="true" t="shared" si="119" ref="R187:AC187">+R275</f>
        <v>0</v>
      </c>
      <c r="S187" s="87">
        <f t="shared" si="119"/>
        <v>0</v>
      </c>
      <c r="T187" s="87">
        <f t="shared" si="119"/>
        <v>0</v>
      </c>
      <c r="U187" s="87">
        <f t="shared" si="119"/>
        <v>0</v>
      </c>
      <c r="V187" s="87">
        <f t="shared" si="119"/>
        <v>0</v>
      </c>
      <c r="W187" s="87">
        <f t="shared" si="119"/>
        <v>0</v>
      </c>
      <c r="X187" s="87">
        <f t="shared" si="119"/>
        <v>0</v>
      </c>
      <c r="Y187" s="87">
        <f t="shared" si="119"/>
        <v>0</v>
      </c>
      <c r="Z187" s="87">
        <f t="shared" si="119"/>
        <v>0</v>
      </c>
      <c r="AA187" s="87">
        <f t="shared" si="119"/>
        <v>0</v>
      </c>
      <c r="AB187" s="87">
        <f t="shared" si="119"/>
        <v>0</v>
      </c>
      <c r="AC187" s="87">
        <f t="shared" si="119"/>
        <v>0</v>
      </c>
    </row>
    <row r="188" spans="1:29" ht="18">
      <c r="A188" s="57" t="s">
        <v>133</v>
      </c>
      <c r="B188" s="40"/>
      <c r="C188" s="88">
        <f aca="true" t="shared" si="120" ref="C188:N188">SUM(C67:C68)-SUM(B67:B68)</f>
        <v>0</v>
      </c>
      <c r="D188" s="88">
        <f t="shared" si="120"/>
        <v>0</v>
      </c>
      <c r="E188" s="88">
        <f t="shared" si="120"/>
        <v>0</v>
      </c>
      <c r="F188" s="88">
        <f t="shared" si="120"/>
        <v>0</v>
      </c>
      <c r="G188" s="88">
        <f t="shared" si="120"/>
        <v>0</v>
      </c>
      <c r="H188" s="88">
        <f t="shared" si="120"/>
        <v>0</v>
      </c>
      <c r="I188" s="88">
        <f t="shared" si="120"/>
        <v>0</v>
      </c>
      <c r="J188" s="88">
        <f t="shared" si="120"/>
        <v>0</v>
      </c>
      <c r="K188" s="88">
        <f t="shared" si="120"/>
        <v>0</v>
      </c>
      <c r="L188" s="88">
        <f t="shared" si="120"/>
        <v>0</v>
      </c>
      <c r="M188" s="88">
        <f t="shared" si="120"/>
        <v>0</v>
      </c>
      <c r="N188" s="88">
        <f t="shared" si="120"/>
        <v>0</v>
      </c>
      <c r="P188" s="18" t="str">
        <f>+A188</f>
        <v>Equipment Purchases</v>
      </c>
      <c r="Q188" s="40"/>
      <c r="R188" s="88">
        <f aca="true" t="shared" si="121" ref="R188:AC188">SUM(R67:R68)-SUM(Q67:Q68)</f>
        <v>0</v>
      </c>
      <c r="S188" s="88">
        <f t="shared" si="121"/>
        <v>0</v>
      </c>
      <c r="T188" s="88">
        <f t="shared" si="121"/>
        <v>0</v>
      </c>
      <c r="U188" s="88">
        <f t="shared" si="121"/>
        <v>0</v>
      </c>
      <c r="V188" s="88">
        <f t="shared" si="121"/>
        <v>0</v>
      </c>
      <c r="W188" s="88">
        <f t="shared" si="121"/>
        <v>0</v>
      </c>
      <c r="X188" s="88">
        <f t="shared" si="121"/>
        <v>0</v>
      </c>
      <c r="Y188" s="88">
        <f t="shared" si="121"/>
        <v>0</v>
      </c>
      <c r="Z188" s="88">
        <f t="shared" si="121"/>
        <v>0</v>
      </c>
      <c r="AA188" s="88">
        <f t="shared" si="121"/>
        <v>0</v>
      </c>
      <c r="AB188" s="88">
        <f t="shared" si="121"/>
        <v>0</v>
      </c>
      <c r="AC188" s="88">
        <f t="shared" si="121"/>
        <v>0</v>
      </c>
    </row>
    <row r="189" spans="1:29" ht="18">
      <c r="A189" s="161" t="s">
        <v>1</v>
      </c>
      <c r="B189" s="161"/>
      <c r="C189" s="173">
        <f aca="true" t="shared" si="122" ref="C189:N189">SUM(C186:C188)</f>
        <v>0</v>
      </c>
      <c r="D189" s="173">
        <f t="shared" si="122"/>
        <v>0</v>
      </c>
      <c r="E189" s="173">
        <f t="shared" si="122"/>
        <v>0</v>
      </c>
      <c r="F189" s="173">
        <f t="shared" si="122"/>
        <v>0</v>
      </c>
      <c r="G189" s="173">
        <f t="shared" si="122"/>
        <v>0</v>
      </c>
      <c r="H189" s="173">
        <f t="shared" si="122"/>
        <v>0</v>
      </c>
      <c r="I189" s="173">
        <f t="shared" si="122"/>
        <v>0</v>
      </c>
      <c r="J189" s="173">
        <f t="shared" si="122"/>
        <v>0</v>
      </c>
      <c r="K189" s="173">
        <f t="shared" si="122"/>
        <v>0</v>
      </c>
      <c r="L189" s="173">
        <f t="shared" si="122"/>
        <v>0</v>
      </c>
      <c r="M189" s="173">
        <f t="shared" si="122"/>
        <v>0</v>
      </c>
      <c r="N189" s="173">
        <f t="shared" si="122"/>
        <v>0</v>
      </c>
      <c r="P189" s="161" t="s">
        <v>1</v>
      </c>
      <c r="Q189" s="161"/>
      <c r="R189" s="173">
        <f aca="true" t="shared" si="123" ref="R189:AC189">SUM(R186:R188)</f>
        <v>0</v>
      </c>
      <c r="S189" s="173">
        <f t="shared" si="123"/>
        <v>0</v>
      </c>
      <c r="T189" s="173">
        <f t="shared" si="123"/>
        <v>0</v>
      </c>
      <c r="U189" s="173">
        <f t="shared" si="123"/>
        <v>0</v>
      </c>
      <c r="V189" s="173">
        <f t="shared" si="123"/>
        <v>0</v>
      </c>
      <c r="W189" s="173">
        <f t="shared" si="123"/>
        <v>0</v>
      </c>
      <c r="X189" s="173">
        <f t="shared" si="123"/>
        <v>0</v>
      </c>
      <c r="Y189" s="173">
        <f t="shared" si="123"/>
        <v>0</v>
      </c>
      <c r="Z189" s="173">
        <f t="shared" si="123"/>
        <v>0</v>
      </c>
      <c r="AA189" s="173">
        <f t="shared" si="123"/>
        <v>0</v>
      </c>
      <c r="AB189" s="173">
        <f t="shared" si="123"/>
        <v>0</v>
      </c>
      <c r="AC189" s="173">
        <f t="shared" si="123"/>
        <v>0</v>
      </c>
    </row>
    <row r="190" spans="1:29" ht="18">
      <c r="A190" s="30"/>
      <c r="B190" s="13"/>
      <c r="C190" s="13"/>
      <c r="D190" s="13"/>
      <c r="E190" s="13"/>
      <c r="F190" s="13"/>
      <c r="G190" s="13"/>
      <c r="H190" s="13"/>
      <c r="I190" s="13"/>
      <c r="J190" s="13"/>
      <c r="K190" s="13"/>
      <c r="L190" s="13"/>
      <c r="M190" s="13"/>
      <c r="N190" s="13"/>
      <c r="P190" s="30"/>
      <c r="Q190" s="13"/>
      <c r="R190" s="13"/>
      <c r="S190" s="13"/>
      <c r="T190" s="13"/>
      <c r="U190" s="13"/>
      <c r="V190" s="13"/>
      <c r="W190" s="13"/>
      <c r="X190" s="13"/>
      <c r="Y190" s="13"/>
      <c r="Z190" s="13"/>
      <c r="AA190" s="13"/>
      <c r="AB190" s="13"/>
      <c r="AC190" s="13"/>
    </row>
    <row r="233" spans="1:30" ht="18">
      <c r="A233" s="24" t="str">
        <f>+A1</f>
        <v>MyCo</v>
      </c>
      <c r="B233" s="19"/>
      <c r="C233" s="19"/>
      <c r="D233" s="19"/>
      <c r="E233" s="19"/>
      <c r="F233" s="19"/>
      <c r="G233" s="19"/>
      <c r="H233" s="19"/>
      <c r="I233" s="19"/>
      <c r="J233" s="19"/>
      <c r="K233" s="19"/>
      <c r="L233" s="19"/>
      <c r="M233" s="19"/>
      <c r="N233" s="19"/>
      <c r="O233" s="64" t="str">
        <f>+O$1</f>
        <v>Draft 1.0</v>
      </c>
      <c r="P233" s="24" t="str">
        <f>+P1</f>
        <v>MyCo</v>
      </c>
      <c r="Q233" s="19"/>
      <c r="R233" s="19"/>
      <c r="S233" s="19"/>
      <c r="T233" s="19"/>
      <c r="U233" s="19"/>
      <c r="V233" s="19"/>
      <c r="W233" s="19"/>
      <c r="X233" s="19"/>
      <c r="Y233" s="19"/>
      <c r="Z233" s="19"/>
      <c r="AA233" s="19"/>
      <c r="AB233" s="19"/>
      <c r="AC233" s="19"/>
      <c r="AD233" s="64" t="str">
        <f>+AD$1</f>
        <v>Draft 1.0</v>
      </c>
    </row>
    <row r="234" spans="1:30" ht="23.25">
      <c r="A234" s="20" t="s">
        <v>125</v>
      </c>
      <c r="B234" s="19"/>
      <c r="C234" s="19"/>
      <c r="D234" s="19"/>
      <c r="E234" s="19"/>
      <c r="F234" s="19"/>
      <c r="G234" s="19"/>
      <c r="H234" s="19"/>
      <c r="I234" s="19"/>
      <c r="J234" s="19"/>
      <c r="K234" s="19"/>
      <c r="L234" s="19"/>
      <c r="M234" s="19"/>
      <c r="N234" s="25"/>
      <c r="O234" s="19"/>
      <c r="P234" s="20" t="str">
        <f>+A234</f>
        <v>DEBT FUNDING - Page 1</v>
      </c>
      <c r="Q234" s="19"/>
      <c r="R234" s="19"/>
      <c r="S234" s="19"/>
      <c r="T234" s="19"/>
      <c r="U234" s="19"/>
      <c r="V234" s="19"/>
      <c r="W234" s="19"/>
      <c r="X234" s="19"/>
      <c r="Y234" s="19"/>
      <c r="Z234" s="19"/>
      <c r="AA234" s="19"/>
      <c r="AB234" s="19"/>
      <c r="AC234" s="25"/>
      <c r="AD234" s="19"/>
    </row>
    <row r="235" spans="1:29" ht="18">
      <c r="A235" s="21">
        <f>+$A$3</f>
        <v>2022</v>
      </c>
      <c r="B235" s="18"/>
      <c r="C235" s="619">
        <f>IF(ISBLANK(Headcount!C$3),"",Headcount!C$3)</f>
      </c>
      <c r="D235" s="619">
        <f>IF(ISBLANK(Headcount!D$3),"",Headcount!D$3)</f>
      </c>
      <c r="E235" s="619">
        <f>IF(ISBLANK(Headcount!E$3),"",Headcount!E$3)</f>
      </c>
      <c r="F235" s="619">
        <f>IF(ISBLANK(Headcount!F$3),"",Headcount!F$3)</f>
      </c>
      <c r="G235" s="619">
        <f>IF(ISBLANK(Headcount!G$3),"",Headcount!G$3)</f>
      </c>
      <c r="H235" s="619">
        <f>IF(ISBLANK(Headcount!H$3),"",Headcount!H$3)</f>
      </c>
      <c r="I235" s="619">
        <f>IF(ISBLANK(Headcount!I$3),"",Headcount!I$3)</f>
      </c>
      <c r="J235" s="619">
        <f>IF(ISBLANK(Headcount!J$3),"",Headcount!J$3)</f>
      </c>
      <c r="K235" s="619">
        <f>IF(ISBLANK(Headcount!K$3),"",Headcount!K$3)</f>
      </c>
      <c r="L235" s="619">
        <f>IF(ISBLANK(Headcount!L$3),"",Headcount!L$3)</f>
      </c>
      <c r="M235" s="619">
        <f>IF(ISBLANK(Headcount!M$3),"",Headcount!M$3)</f>
      </c>
      <c r="N235" s="619">
        <f>IF(ISBLANK(Headcount!N$3),"",Headcount!N$3)</f>
      </c>
      <c r="P235" s="21">
        <f>+P$3</f>
        <v>2023</v>
      </c>
      <c r="Q235" s="18"/>
      <c r="R235" s="619">
        <f>IF(ISBLANK(Headcount!R$3),"",Headcount!R$3)</f>
      </c>
      <c r="S235" s="619">
        <f>IF(ISBLANK(Headcount!S$3),"",Headcount!S$3)</f>
      </c>
      <c r="T235" s="619">
        <f>IF(ISBLANK(Headcount!T$3),"",Headcount!T$3)</f>
      </c>
      <c r="U235" s="619">
        <f>IF(ISBLANK(Headcount!U$3),"",Headcount!U$3)</f>
      </c>
      <c r="V235" s="619">
        <f>IF(ISBLANK(Headcount!V$3),"",Headcount!V$3)</f>
      </c>
      <c r="W235" s="619">
        <f>IF(ISBLANK(Headcount!W$3),"",Headcount!W$3)</f>
      </c>
      <c r="X235" s="619">
        <f>IF(ISBLANK(Headcount!X$3),"",Headcount!X$3)</f>
      </c>
      <c r="Y235" s="619">
        <f>IF(ISBLANK(Headcount!Y$3),"",Headcount!Y$3)</f>
      </c>
      <c r="Z235" s="619">
        <f>IF(ISBLANK(Headcount!Z$3),"",Headcount!Z$3)</f>
      </c>
      <c r="AA235" s="619">
        <f>IF(ISBLANK(Headcount!AA$3),"",Headcount!AA$3)</f>
      </c>
      <c r="AB235" s="619">
        <f>IF(ISBLANK(Headcount!AB$3),"",Headcount!AB$3)</f>
      </c>
      <c r="AC235" s="619">
        <f>IF(ISBLANK(Headcount!AC$3),"",Headcount!AC$3)</f>
      </c>
    </row>
    <row r="236" spans="1:29" ht="18">
      <c r="A236" s="18"/>
      <c r="B236" s="37"/>
      <c r="C236" s="22" t="str">
        <f>IF(ISBLANK(Headcount!C$4),"",Headcount!C$4)</f>
        <v>Month</v>
      </c>
      <c r="D236" s="22" t="str">
        <f>IF(ISBLANK(Headcount!D$4),"",Headcount!D$4)</f>
        <v>Actual</v>
      </c>
      <c r="E236" s="22" t="str">
        <f>IF(ISBLANK(Headcount!E$4),"",Headcount!E$4)</f>
        <v>Actual</v>
      </c>
      <c r="F236" s="22" t="str">
        <f>IF(ISBLANK(Headcount!F$4),"",Headcount!F$4)</f>
        <v>Forecast</v>
      </c>
      <c r="G236" s="22" t="str">
        <f>IF(ISBLANK(Headcount!G$4),"",Headcount!G$4)</f>
        <v>Forecast</v>
      </c>
      <c r="H236" s="22" t="str">
        <f>IF(ISBLANK(Headcount!H$4),"",Headcount!H$4)</f>
        <v>Forecast</v>
      </c>
      <c r="I236" s="22" t="str">
        <f>IF(ISBLANK(Headcount!I$4),"",Headcount!I$4)</f>
        <v>Forecast</v>
      </c>
      <c r="J236" s="22" t="str">
        <f>IF(ISBLANK(Headcount!J$4),"",Headcount!J$4)</f>
        <v>Forecast</v>
      </c>
      <c r="K236" s="22" t="str">
        <f>IF(ISBLANK(Headcount!K$4),"",Headcount!K$4)</f>
        <v>Forecast</v>
      </c>
      <c r="L236" s="22" t="str">
        <f>IF(ISBLANK(Headcount!L$4),"",Headcount!L$4)</f>
        <v>Forecast</v>
      </c>
      <c r="M236" s="22" t="str">
        <f>IF(ISBLANK(Headcount!M$4),"",Headcount!M$4)</f>
        <v>Forecast</v>
      </c>
      <c r="N236" s="22" t="str">
        <f>IF(ISBLANK(Headcount!N$4),"",Headcount!N$4)</f>
        <v>Forecast</v>
      </c>
      <c r="P236" s="18"/>
      <c r="Q236" s="37"/>
      <c r="R236" s="22" t="str">
        <f>IF(ISBLANK(Headcount!R$4),"",Headcount!R$4)</f>
        <v>Forecast</v>
      </c>
      <c r="S236" s="22" t="str">
        <f>IF(ISBLANK(Headcount!S$4),"",Headcount!S$4)</f>
        <v>Forecast</v>
      </c>
      <c r="T236" s="22" t="str">
        <f>IF(ISBLANK(Headcount!T$4),"",Headcount!T$4)</f>
        <v>Forecast</v>
      </c>
      <c r="U236" s="22" t="str">
        <f>IF(ISBLANK(Headcount!U$4),"",Headcount!U$4)</f>
        <v>Forecast</v>
      </c>
      <c r="V236" s="22" t="str">
        <f>IF(ISBLANK(Headcount!V$4),"",Headcount!V$4)</f>
        <v>Forecast</v>
      </c>
      <c r="W236" s="22" t="str">
        <f>IF(ISBLANK(Headcount!W$4),"",Headcount!W$4)</f>
        <v>Forecast</v>
      </c>
      <c r="X236" s="22" t="str">
        <f>IF(ISBLANK(Headcount!X$4),"",Headcount!X$4)</f>
        <v>Forecast</v>
      </c>
      <c r="Y236" s="22" t="str">
        <f>IF(ISBLANK(Headcount!Y$4),"",Headcount!Y$4)</f>
        <v>Forecast</v>
      </c>
      <c r="Z236" s="22" t="str">
        <f>IF(ISBLANK(Headcount!Z$4),"",Headcount!Z$4)</f>
        <v>Forecast</v>
      </c>
      <c r="AA236" s="22" t="str">
        <f>IF(ISBLANK(Headcount!AA$4),"",Headcount!AA$4)</f>
        <v>Forecast</v>
      </c>
      <c r="AB236" s="22" t="str">
        <f>IF(ISBLANK(Headcount!AB$4),"",Headcount!AB$4)</f>
        <v>Forecast</v>
      </c>
      <c r="AC236" s="22" t="str">
        <f>IF(ISBLANK(Headcount!AC$4),"",Headcount!AC$4)</f>
        <v>Forecast</v>
      </c>
    </row>
    <row r="237" spans="1:30" ht="18.75" thickBot="1">
      <c r="A237" s="26"/>
      <c r="B237" s="38"/>
      <c r="C237" s="157" t="str">
        <f>+Headcount!C$5</f>
        <v>Jan</v>
      </c>
      <c r="D237" s="157" t="str">
        <f>+Headcount!D$5</f>
        <v>Feb</v>
      </c>
      <c r="E237" s="157" t="str">
        <f>+Headcount!E$5</f>
        <v>Mar</v>
      </c>
      <c r="F237" s="157" t="str">
        <f>+Headcount!F$5</f>
        <v>Apr</v>
      </c>
      <c r="G237" s="157" t="str">
        <f>+Headcount!G$5</f>
        <v>May</v>
      </c>
      <c r="H237" s="157" t="str">
        <f>+Headcount!H$5</f>
        <v>Jun</v>
      </c>
      <c r="I237" s="157" t="str">
        <f>+Headcount!I$5</f>
        <v>Jul</v>
      </c>
      <c r="J237" s="157" t="str">
        <f>+Headcount!J$5</f>
        <v>Aug</v>
      </c>
      <c r="K237" s="157" t="str">
        <f>+Headcount!K$5</f>
        <v>Sep</v>
      </c>
      <c r="L237" s="157" t="str">
        <f>+Headcount!L$5</f>
        <v>Oct</v>
      </c>
      <c r="M237" s="157" t="str">
        <f>+Headcount!M$5</f>
        <v>Nov</v>
      </c>
      <c r="N237" s="157" t="str">
        <f>+Headcount!N$5</f>
        <v>Dec</v>
      </c>
      <c r="O237" s="36" t="s">
        <v>1</v>
      </c>
      <c r="P237" s="26"/>
      <c r="Q237" s="38"/>
      <c r="R237" s="157" t="str">
        <f>+Headcount!R$5</f>
        <v>Jan</v>
      </c>
      <c r="S237" s="157" t="str">
        <f>+Headcount!S$5</f>
        <v>Feb</v>
      </c>
      <c r="T237" s="157" t="str">
        <f>+Headcount!T$5</f>
        <v>Mar</v>
      </c>
      <c r="U237" s="157" t="str">
        <f>+Headcount!U$5</f>
        <v>Apr</v>
      </c>
      <c r="V237" s="157" t="str">
        <f>+Headcount!V$5</f>
        <v>May</v>
      </c>
      <c r="W237" s="157" t="str">
        <f>+Headcount!W$5</f>
        <v>Jun</v>
      </c>
      <c r="X237" s="157" t="str">
        <f>+Headcount!X$5</f>
        <v>Jul</v>
      </c>
      <c r="Y237" s="157" t="str">
        <f>+Headcount!Y$5</f>
        <v>Aug</v>
      </c>
      <c r="Z237" s="157" t="str">
        <f>+Headcount!Z$5</f>
        <v>Sep</v>
      </c>
      <c r="AA237" s="157" t="str">
        <f>+Headcount!AA$5</f>
        <v>Oct</v>
      </c>
      <c r="AB237" s="157" t="str">
        <f>+Headcount!AB$5</f>
        <v>Nov</v>
      </c>
      <c r="AC237" s="157" t="str">
        <f>+Headcount!AC$5</f>
        <v>Dec</v>
      </c>
      <c r="AD237" s="36" t="s">
        <v>1</v>
      </c>
    </row>
    <row r="238" spans="1:30" ht="18">
      <c r="A238" s="250"/>
      <c r="B238" s="92"/>
      <c r="C238" s="31"/>
      <c r="D238" s="31"/>
      <c r="E238" s="31"/>
      <c r="F238" s="31"/>
      <c r="G238" s="31"/>
      <c r="H238" s="31"/>
      <c r="I238" s="31"/>
      <c r="J238" s="31"/>
      <c r="K238" s="31"/>
      <c r="L238" s="31"/>
      <c r="M238" s="31"/>
      <c r="N238" s="31"/>
      <c r="O238" s="93"/>
      <c r="P238" s="250"/>
      <c r="Q238" s="92"/>
      <c r="R238" s="31"/>
      <c r="S238" s="31"/>
      <c r="T238" s="31"/>
      <c r="U238" s="31"/>
      <c r="V238" s="31"/>
      <c r="W238" s="31"/>
      <c r="X238" s="31"/>
      <c r="Y238" s="31"/>
      <c r="Z238" s="31"/>
      <c r="AA238" s="31"/>
      <c r="AB238" s="31"/>
      <c r="AC238" s="31"/>
      <c r="AD238" s="93"/>
    </row>
    <row r="239" spans="1:29" ht="23.25">
      <c r="A239" s="85" t="s">
        <v>65</v>
      </c>
      <c r="B239" s="90"/>
      <c r="C239" s="31"/>
      <c r="D239" s="31"/>
      <c r="E239" s="31"/>
      <c r="F239" s="31"/>
      <c r="G239" s="31"/>
      <c r="H239" s="31"/>
      <c r="I239" s="31"/>
      <c r="J239" s="31"/>
      <c r="K239" s="31"/>
      <c r="L239" s="31"/>
      <c r="M239" s="31"/>
      <c r="N239" s="31"/>
      <c r="P239" s="85" t="s">
        <v>65</v>
      </c>
      <c r="Q239" s="90"/>
      <c r="R239" s="31"/>
      <c r="S239" s="31"/>
      <c r="T239" s="31"/>
      <c r="U239" s="31"/>
      <c r="V239" s="31"/>
      <c r="W239" s="31"/>
      <c r="X239" s="31"/>
      <c r="Y239" s="31"/>
      <c r="Z239" s="31"/>
      <c r="AA239" s="31"/>
      <c r="AB239" s="31"/>
      <c r="AC239" s="31"/>
    </row>
    <row r="240" spans="1:29" ht="18.75" thickBot="1">
      <c r="A240" s="31"/>
      <c r="B240" s="31"/>
      <c r="C240" s="31"/>
      <c r="D240" s="31"/>
      <c r="E240" s="31"/>
      <c r="F240" s="31"/>
      <c r="G240" s="31"/>
      <c r="H240" s="31"/>
      <c r="I240" s="31"/>
      <c r="J240" s="31"/>
      <c r="K240" s="31"/>
      <c r="L240" s="31"/>
      <c r="M240" s="31"/>
      <c r="N240" s="31"/>
      <c r="P240" s="31"/>
      <c r="Q240" s="518"/>
      <c r="R240" s="31"/>
      <c r="S240" s="31"/>
      <c r="T240" s="31"/>
      <c r="U240" s="31"/>
      <c r="V240" s="31"/>
      <c r="W240" s="31"/>
      <c r="X240" s="31"/>
      <c r="Y240" s="31"/>
      <c r="Z240" s="31"/>
      <c r="AA240" s="31"/>
      <c r="AB240" s="31"/>
      <c r="AC240" s="31"/>
    </row>
    <row r="241" spans="1:29" ht="18.75" thickBot="1">
      <c r="A241" s="87" t="s">
        <v>118</v>
      </c>
      <c r="B241" s="612">
        <v>0</v>
      </c>
      <c r="C241" s="31"/>
      <c r="D241" s="31"/>
      <c r="E241" s="31"/>
      <c r="F241" s="31"/>
      <c r="G241" s="31"/>
      <c r="H241" s="31"/>
      <c r="I241" s="31"/>
      <c r="J241" s="31"/>
      <c r="K241" s="31"/>
      <c r="L241" s="31"/>
      <c r="M241" s="31"/>
      <c r="N241" s="31"/>
      <c r="P241" s="87" t="s">
        <v>436</v>
      </c>
      <c r="Q241" s="189">
        <v>0</v>
      </c>
      <c r="R241" s="31"/>
      <c r="S241" s="31"/>
      <c r="T241" s="31"/>
      <c r="U241" s="31"/>
      <c r="V241" s="31"/>
      <c r="W241" s="31"/>
      <c r="X241" s="31"/>
      <c r="Y241" s="31"/>
      <c r="Z241" s="31"/>
      <c r="AA241" s="31"/>
      <c r="AB241" s="31"/>
      <c r="AC241" s="31"/>
    </row>
    <row r="242" spans="1:29" ht="18">
      <c r="A242" s="31"/>
      <c r="B242" s="31"/>
      <c r="C242" s="31"/>
      <c r="D242" s="31"/>
      <c r="E242" s="31"/>
      <c r="F242" s="31"/>
      <c r="G242" s="31"/>
      <c r="H242" s="31"/>
      <c r="I242" s="31"/>
      <c r="J242" s="31"/>
      <c r="K242" s="31"/>
      <c r="L242" s="31"/>
      <c r="M242" s="31"/>
      <c r="N242" s="31"/>
      <c r="P242" s="31"/>
      <c r="Q242" s="31"/>
      <c r="R242" s="31"/>
      <c r="S242" s="31"/>
      <c r="T242" s="31"/>
      <c r="U242" s="31"/>
      <c r="V242" s="31"/>
      <c r="W242" s="31"/>
      <c r="X242" s="31"/>
      <c r="Y242" s="31"/>
      <c r="Z242" s="31"/>
      <c r="AA242" s="31"/>
      <c r="AB242" s="31"/>
      <c r="AC242" s="31"/>
    </row>
    <row r="243" spans="1:30" ht="18.75" thickBot="1">
      <c r="A243" s="48" t="s">
        <v>58</v>
      </c>
      <c r="B243" s="13"/>
      <c r="C243" s="45">
        <f>IF($B241=1,+C60,0)</f>
        <v>0</v>
      </c>
      <c r="D243" s="45">
        <f>IF(C243&gt;1,D60,IF($B241=2,+D60,0))</f>
        <v>0</v>
      </c>
      <c r="E243" s="45">
        <f>IF(D243&gt;1,E60,IF($B241=3,+E60,0))</f>
        <v>0</v>
      </c>
      <c r="F243" s="45">
        <f>IF(E243&gt;1,F60,IF($B241=4,+F60,0))</f>
        <v>0</v>
      </c>
      <c r="G243" s="45">
        <f>IF(F243&gt;1,G60,IF($B241=5,+G60,0))</f>
        <v>0</v>
      </c>
      <c r="H243" s="45">
        <f>IF(G243&gt;1,H60,IF($B241=6,+H60,0))</f>
        <v>0</v>
      </c>
      <c r="I243" s="45">
        <f>IF(H243&gt;1,I60,IF($B241=7,+I60,0))</f>
        <v>0</v>
      </c>
      <c r="J243" s="45">
        <f>IF(I243&gt;1,J60,IF($B241=8,+J60,0))</f>
        <v>0</v>
      </c>
      <c r="K243" s="45">
        <f>IF(J243&gt;1,K60,IF($B241=9,+K60,0))</f>
        <v>0</v>
      </c>
      <c r="L243" s="45">
        <f>IF(K243&gt;1,L60,IF($B241=10,+L60,0))</f>
        <v>0</v>
      </c>
      <c r="M243" s="45">
        <f>IF(L243&gt;1,M60,IF($B241=11,+M60,0))</f>
        <v>0</v>
      </c>
      <c r="N243" s="45">
        <f>IF(M243&gt;1,N60,IF($B241=12,+N60,0))</f>
        <v>0</v>
      </c>
      <c r="O243" s="61"/>
      <c r="P243" s="48" t="s">
        <v>58</v>
      </c>
      <c r="Q243" s="13"/>
      <c r="R243" s="45">
        <f>IF(N243&gt;0,R60,IF(Q241=13,+R60,0))</f>
        <v>0</v>
      </c>
      <c r="S243" s="45">
        <f>IF(R243&gt;0,S60,IF(Q241=14,+S60,0))</f>
        <v>0</v>
      </c>
      <c r="T243" s="45">
        <f>IF(S243&gt;0,T60,IF(Q241=15,+T60,0))</f>
        <v>0</v>
      </c>
      <c r="U243" s="45">
        <f>IF(T243&gt;0,U60,IF(Q241=16,+U60,0))</f>
        <v>0</v>
      </c>
      <c r="V243" s="45">
        <f>IF(U243&gt;0,V60,IF(Q241=17,+V60,0))</f>
        <v>0</v>
      </c>
      <c r="W243" s="45">
        <f>IF(V243&gt;0,W60,IF(Q241=18,+W60,0))</f>
        <v>0</v>
      </c>
      <c r="X243" s="45">
        <f>IF(W243&gt;0,X60,IF(Q241=19,+X60,0))</f>
        <v>0</v>
      </c>
      <c r="Y243" s="45">
        <f>IF(X243&gt;0,Y60,IF(Q241=20,+Y60,0))</f>
        <v>0</v>
      </c>
      <c r="Z243" s="45">
        <f>IF(Y243&gt;0,Z60,IF(Q241=21,+Z60,0))</f>
        <v>0</v>
      </c>
      <c r="AA243" s="45">
        <f>IF(Z243&gt;0,AA60,IF(Q241=22,+AA60,0))</f>
        <v>0</v>
      </c>
      <c r="AB243" s="45">
        <f>IF(AA243&gt;0,AB60,IF(Q241=23,+AB60,0))</f>
        <v>0</v>
      </c>
      <c r="AC243" s="45">
        <f>IF(AB243&gt;0,AC60,IF(Q241=24,+AC60,0))</f>
        <v>0</v>
      </c>
      <c r="AD243" s="61"/>
    </row>
    <row r="244" spans="1:29" ht="18.75" thickBot="1">
      <c r="A244" s="40" t="s">
        <v>52</v>
      </c>
      <c r="B244" s="249">
        <v>0.65</v>
      </c>
      <c r="C244" s="83">
        <f aca="true" t="shared" si="124" ref="C244:N244">+B244</f>
        <v>0.65</v>
      </c>
      <c r="D244" s="83">
        <f t="shared" si="124"/>
        <v>0.65</v>
      </c>
      <c r="E244" s="83">
        <f t="shared" si="124"/>
        <v>0.65</v>
      </c>
      <c r="F244" s="83">
        <f t="shared" si="124"/>
        <v>0.65</v>
      </c>
      <c r="G244" s="83">
        <f t="shared" si="124"/>
        <v>0.65</v>
      </c>
      <c r="H244" s="83">
        <f t="shared" si="124"/>
        <v>0.65</v>
      </c>
      <c r="I244" s="83">
        <f t="shared" si="124"/>
        <v>0.65</v>
      </c>
      <c r="J244" s="83">
        <f t="shared" si="124"/>
        <v>0.65</v>
      </c>
      <c r="K244" s="83">
        <f t="shared" si="124"/>
        <v>0.65</v>
      </c>
      <c r="L244" s="83">
        <f t="shared" si="124"/>
        <v>0.65</v>
      </c>
      <c r="M244" s="83">
        <f t="shared" si="124"/>
        <v>0.65</v>
      </c>
      <c r="N244" s="83">
        <f t="shared" si="124"/>
        <v>0.65</v>
      </c>
      <c r="P244" s="40" t="s">
        <v>52</v>
      </c>
      <c r="Q244" s="249">
        <f>+B244</f>
        <v>0.65</v>
      </c>
      <c r="R244" s="83">
        <f aca="true" t="shared" si="125" ref="R244:AC244">+Q244</f>
        <v>0.65</v>
      </c>
      <c r="S244" s="83">
        <f t="shared" si="125"/>
        <v>0.65</v>
      </c>
      <c r="T244" s="83">
        <f t="shared" si="125"/>
        <v>0.65</v>
      </c>
      <c r="U244" s="83">
        <f t="shared" si="125"/>
        <v>0.65</v>
      </c>
      <c r="V244" s="83">
        <f t="shared" si="125"/>
        <v>0.65</v>
      </c>
      <c r="W244" s="83">
        <f t="shared" si="125"/>
        <v>0.65</v>
      </c>
      <c r="X244" s="83">
        <f t="shared" si="125"/>
        <v>0.65</v>
      </c>
      <c r="Y244" s="83">
        <f t="shared" si="125"/>
        <v>0.65</v>
      </c>
      <c r="Z244" s="83">
        <f t="shared" si="125"/>
        <v>0.65</v>
      </c>
      <c r="AA244" s="83">
        <f t="shared" si="125"/>
        <v>0.65</v>
      </c>
      <c r="AB244" s="83">
        <f t="shared" si="125"/>
        <v>0.65</v>
      </c>
      <c r="AC244" s="83">
        <f t="shared" si="125"/>
        <v>0.65</v>
      </c>
    </row>
    <row r="245" spans="1:29" ht="18">
      <c r="A245" s="161" t="s">
        <v>61</v>
      </c>
      <c r="B245" s="171"/>
      <c r="C245" s="77">
        <f aca="true" t="shared" si="126" ref="C245:N245">+C243*C244</f>
        <v>0</v>
      </c>
      <c r="D245" s="77">
        <f t="shared" si="126"/>
        <v>0</v>
      </c>
      <c r="E245" s="77">
        <f t="shared" si="126"/>
        <v>0</v>
      </c>
      <c r="F245" s="77">
        <f t="shared" si="126"/>
        <v>0</v>
      </c>
      <c r="G245" s="77">
        <f t="shared" si="126"/>
        <v>0</v>
      </c>
      <c r="H245" s="77">
        <f t="shared" si="126"/>
        <v>0</v>
      </c>
      <c r="I245" s="77">
        <f t="shared" si="126"/>
        <v>0</v>
      </c>
      <c r="J245" s="77">
        <f t="shared" si="126"/>
        <v>0</v>
      </c>
      <c r="K245" s="77">
        <f t="shared" si="126"/>
        <v>0</v>
      </c>
      <c r="L245" s="77">
        <f t="shared" si="126"/>
        <v>0</v>
      </c>
      <c r="M245" s="77">
        <f t="shared" si="126"/>
        <v>0</v>
      </c>
      <c r="N245" s="77">
        <f t="shared" si="126"/>
        <v>0</v>
      </c>
      <c r="P245" s="161" t="s">
        <v>61</v>
      </c>
      <c r="Q245" s="171"/>
      <c r="R245" s="77">
        <f aca="true" t="shared" si="127" ref="R245:AC245">+R243*R244</f>
        <v>0</v>
      </c>
      <c r="S245" s="77">
        <f t="shared" si="127"/>
        <v>0</v>
      </c>
      <c r="T245" s="77">
        <f t="shared" si="127"/>
        <v>0</v>
      </c>
      <c r="U245" s="77">
        <f t="shared" si="127"/>
        <v>0</v>
      </c>
      <c r="V245" s="77">
        <f t="shared" si="127"/>
        <v>0</v>
      </c>
      <c r="W245" s="77">
        <f t="shared" si="127"/>
        <v>0</v>
      </c>
      <c r="X245" s="77">
        <f t="shared" si="127"/>
        <v>0</v>
      </c>
      <c r="Y245" s="77">
        <f t="shared" si="127"/>
        <v>0</v>
      </c>
      <c r="Z245" s="77">
        <f t="shared" si="127"/>
        <v>0</v>
      </c>
      <c r="AA245" s="77">
        <f t="shared" si="127"/>
        <v>0</v>
      </c>
      <c r="AB245" s="77">
        <f t="shared" si="127"/>
        <v>0</v>
      </c>
      <c r="AC245" s="77">
        <f t="shared" si="127"/>
        <v>0</v>
      </c>
    </row>
    <row r="246" spans="1:29" ht="18">
      <c r="A246" s="13"/>
      <c r="B246" s="171"/>
      <c r="C246" s="172"/>
      <c r="D246" s="172"/>
      <c r="E246" s="172"/>
      <c r="F246" s="172"/>
      <c r="G246" s="172"/>
      <c r="H246" s="172"/>
      <c r="I246" s="172"/>
      <c r="J246" s="172"/>
      <c r="K246" s="172"/>
      <c r="L246" s="172"/>
      <c r="M246" s="172"/>
      <c r="N246" s="172"/>
      <c r="P246" s="13"/>
      <c r="Q246" s="171"/>
      <c r="R246" s="172"/>
      <c r="S246" s="172"/>
      <c r="T246" s="172"/>
      <c r="U246" s="172"/>
      <c r="V246" s="172"/>
      <c r="W246" s="172"/>
      <c r="X246" s="172"/>
      <c r="Y246" s="172"/>
      <c r="Z246" s="172"/>
      <c r="AA246" s="172"/>
      <c r="AB246" s="172"/>
      <c r="AC246" s="172"/>
    </row>
    <row r="247" spans="1:29" ht="18.75" thickBot="1">
      <c r="A247" t="s">
        <v>31</v>
      </c>
      <c r="B247" s="81"/>
      <c r="C247" s="45">
        <f>IF(B247&gt;0,+C61,IF($B241=1,+C61,0))</f>
        <v>0</v>
      </c>
      <c r="D247" s="45">
        <f>IF(C247&gt;0,+D61,IF($B241=2,+D61,0))</f>
        <v>0</v>
      </c>
      <c r="E247" s="45">
        <f>IF(D247&gt;0,+E61,IF($B241=3,+E61,0))</f>
        <v>0</v>
      </c>
      <c r="F247" s="45">
        <f>IF(E247&gt;0,+F61,IF($B241=4,+F61,0))</f>
        <v>0</v>
      </c>
      <c r="G247" s="45">
        <f>IF(F247&gt;0,+G61,IF($B241=5,+G61,0))</f>
        <v>0</v>
      </c>
      <c r="H247" s="45">
        <f>IF(G247&gt;0,+H61,IF($B241=6,+H61,0))</f>
        <v>0</v>
      </c>
      <c r="I247" s="45">
        <f>IF(H247&gt;0,+I61,IF($B241=7,+I61,0))</f>
        <v>0</v>
      </c>
      <c r="J247" s="45">
        <f>IF(I247&gt;0,+J61,IF($B241=8,+J61,0))</f>
        <v>0</v>
      </c>
      <c r="K247" s="45">
        <f>IF(J247&gt;0,+K61,IF($B241=9,+K61,0))</f>
        <v>0</v>
      </c>
      <c r="L247" s="45">
        <f>IF(K247&gt;0,+L61,IF($B241=10,+L61,0))</f>
        <v>0</v>
      </c>
      <c r="M247" s="45">
        <f>IF(L247&gt;0,+M61,IF($B241=11,+M61,0))</f>
        <v>0</v>
      </c>
      <c r="N247" s="45">
        <f>IF(M247&gt;0,+N61,IF($B241=12,+N61,0))</f>
        <v>0</v>
      </c>
      <c r="P247" t="s">
        <v>31</v>
      </c>
      <c r="Q247" s="81"/>
      <c r="R247" s="45">
        <f>IF(N247&gt;0,+R61,IF(Q241=13,+R61,0))</f>
        <v>0</v>
      </c>
      <c r="S247" s="45">
        <f>IF(R247&gt;0,+S61,IF($Q241=14,+S61,0))</f>
        <v>0</v>
      </c>
      <c r="T247" s="45">
        <f>IF(S247&gt;0,+T61,IF($Q241=15,+T61,0))</f>
        <v>0</v>
      </c>
      <c r="U247" s="45">
        <f>IF(T247&gt;0,+U61,IF($Q241=16,+U61,0))</f>
        <v>0</v>
      </c>
      <c r="V247" s="45">
        <f>IF(U247&gt;0,+V61,IF($Q241=17,+V61,0))</f>
        <v>0</v>
      </c>
      <c r="W247" s="45">
        <f>IF(V247&gt;0,+W61,IF($Q241=18,+W61,0))</f>
        <v>0</v>
      </c>
      <c r="X247" s="45">
        <f>IF(W247&gt;0,+X61,IF($Q241=19,+X61,0))</f>
        <v>0</v>
      </c>
      <c r="Y247" s="45">
        <f>IF(X247&gt;0,+Y61,IF($Q241=20,+Y61,0))</f>
        <v>0</v>
      </c>
      <c r="Z247" s="45">
        <f>IF(Y247&gt;0,+Z61,IF($Q241=21,+Z61,0))</f>
        <v>0</v>
      </c>
      <c r="AA247" s="45">
        <f>IF(Z247&gt;0,+AA61,IF($Q241=22,+AA61,0))</f>
        <v>0</v>
      </c>
      <c r="AB247" s="45">
        <f>IF(AA247&gt;0,+AB61,IF($Q241=23,+AB61,0))</f>
        <v>0</v>
      </c>
      <c r="AC247" s="45">
        <f>IF(AB247&gt;0,+AC61,IF($Q241=24,+AC61,0))</f>
        <v>0</v>
      </c>
    </row>
    <row r="248" spans="1:29" ht="18.75" thickBot="1">
      <c r="A248" s="40" t="s">
        <v>53</v>
      </c>
      <c r="B248" s="188">
        <v>0.5</v>
      </c>
      <c r="C248" s="83">
        <f aca="true" t="shared" si="128" ref="C248:N248">+B248</f>
        <v>0.5</v>
      </c>
      <c r="D248" s="83">
        <f t="shared" si="128"/>
        <v>0.5</v>
      </c>
      <c r="E248" s="83">
        <f t="shared" si="128"/>
        <v>0.5</v>
      </c>
      <c r="F248" s="83">
        <f t="shared" si="128"/>
        <v>0.5</v>
      </c>
      <c r="G248" s="83">
        <f t="shared" si="128"/>
        <v>0.5</v>
      </c>
      <c r="H248" s="83">
        <f t="shared" si="128"/>
        <v>0.5</v>
      </c>
      <c r="I248" s="83">
        <f t="shared" si="128"/>
        <v>0.5</v>
      </c>
      <c r="J248" s="83">
        <f t="shared" si="128"/>
        <v>0.5</v>
      </c>
      <c r="K248" s="83">
        <f t="shared" si="128"/>
        <v>0.5</v>
      </c>
      <c r="L248" s="83">
        <f t="shared" si="128"/>
        <v>0.5</v>
      </c>
      <c r="M248" s="83">
        <f t="shared" si="128"/>
        <v>0.5</v>
      </c>
      <c r="N248" s="83">
        <f t="shared" si="128"/>
        <v>0.5</v>
      </c>
      <c r="P248" s="40" t="s">
        <v>53</v>
      </c>
      <c r="Q248" s="188">
        <f>+B248</f>
        <v>0.5</v>
      </c>
      <c r="R248" s="83">
        <f aca="true" t="shared" si="129" ref="R248:AC248">+Q248</f>
        <v>0.5</v>
      </c>
      <c r="S248" s="83">
        <f t="shared" si="129"/>
        <v>0.5</v>
      </c>
      <c r="T248" s="83">
        <f t="shared" si="129"/>
        <v>0.5</v>
      </c>
      <c r="U248" s="83">
        <f t="shared" si="129"/>
        <v>0.5</v>
      </c>
      <c r="V248" s="83">
        <f t="shared" si="129"/>
        <v>0.5</v>
      </c>
      <c r="W248" s="83">
        <f t="shared" si="129"/>
        <v>0.5</v>
      </c>
      <c r="X248" s="83">
        <f t="shared" si="129"/>
        <v>0.5</v>
      </c>
      <c r="Y248" s="83">
        <f t="shared" si="129"/>
        <v>0.5</v>
      </c>
      <c r="Z248" s="83">
        <f t="shared" si="129"/>
        <v>0.5</v>
      </c>
      <c r="AA248" s="83">
        <f t="shared" si="129"/>
        <v>0.5</v>
      </c>
      <c r="AB248" s="83">
        <f t="shared" si="129"/>
        <v>0.5</v>
      </c>
      <c r="AC248" s="83">
        <f t="shared" si="129"/>
        <v>0.5</v>
      </c>
    </row>
    <row r="249" spans="1:29" ht="18">
      <c r="A249" s="161" t="s">
        <v>60</v>
      </c>
      <c r="B249" s="170"/>
      <c r="C249" s="77">
        <f aca="true" t="shared" si="130" ref="C249:N249">+C247*C248</f>
        <v>0</v>
      </c>
      <c r="D249" s="77">
        <f t="shared" si="130"/>
        <v>0</v>
      </c>
      <c r="E249" s="77">
        <f t="shared" si="130"/>
        <v>0</v>
      </c>
      <c r="F249" s="77">
        <f t="shared" si="130"/>
        <v>0</v>
      </c>
      <c r="G249" s="77">
        <f t="shared" si="130"/>
        <v>0</v>
      </c>
      <c r="H249" s="77">
        <f t="shared" si="130"/>
        <v>0</v>
      </c>
      <c r="I249" s="77">
        <f t="shared" si="130"/>
        <v>0</v>
      </c>
      <c r="J249" s="77">
        <f t="shared" si="130"/>
        <v>0</v>
      </c>
      <c r="K249" s="77">
        <f t="shared" si="130"/>
        <v>0</v>
      </c>
      <c r="L249" s="77">
        <f t="shared" si="130"/>
        <v>0</v>
      </c>
      <c r="M249" s="77">
        <f t="shared" si="130"/>
        <v>0</v>
      </c>
      <c r="N249" s="77">
        <f t="shared" si="130"/>
        <v>0</v>
      </c>
      <c r="P249" s="161" t="s">
        <v>60</v>
      </c>
      <c r="Q249" s="170"/>
      <c r="R249" s="77">
        <f aca="true" t="shared" si="131" ref="R249:AC249">+R247*R248</f>
        <v>0</v>
      </c>
      <c r="S249" s="77">
        <f t="shared" si="131"/>
        <v>0</v>
      </c>
      <c r="T249" s="77">
        <f t="shared" si="131"/>
        <v>0</v>
      </c>
      <c r="U249" s="77">
        <f t="shared" si="131"/>
        <v>0</v>
      </c>
      <c r="V249" s="77">
        <f t="shared" si="131"/>
        <v>0</v>
      </c>
      <c r="W249" s="77">
        <f t="shared" si="131"/>
        <v>0</v>
      </c>
      <c r="X249" s="77">
        <f t="shared" si="131"/>
        <v>0</v>
      </c>
      <c r="Y249" s="77">
        <f t="shared" si="131"/>
        <v>0</v>
      </c>
      <c r="Z249" s="77">
        <f t="shared" si="131"/>
        <v>0</v>
      </c>
      <c r="AA249" s="77">
        <f t="shared" si="131"/>
        <v>0</v>
      </c>
      <c r="AB249" s="77">
        <f t="shared" si="131"/>
        <v>0</v>
      </c>
      <c r="AC249" s="77">
        <f t="shared" si="131"/>
        <v>0</v>
      </c>
    </row>
    <row r="250" spans="1:29" ht="18">
      <c r="A250" s="13"/>
      <c r="B250" s="171"/>
      <c r="C250" s="172"/>
      <c r="D250" s="172"/>
      <c r="E250" s="172"/>
      <c r="F250" s="172"/>
      <c r="G250" s="172"/>
      <c r="H250" s="172"/>
      <c r="I250" s="172"/>
      <c r="J250" s="172"/>
      <c r="K250" s="172"/>
      <c r="L250" s="172"/>
      <c r="M250" s="172"/>
      <c r="N250" s="172"/>
      <c r="P250" s="13"/>
      <c r="Q250" s="171"/>
      <c r="R250" s="172"/>
      <c r="S250" s="172"/>
      <c r="T250" s="172"/>
      <c r="U250" s="172"/>
      <c r="V250" s="172"/>
      <c r="W250" s="172"/>
      <c r="X250" s="172"/>
      <c r="Y250" s="172"/>
      <c r="Z250" s="172"/>
      <c r="AA250" s="172"/>
      <c r="AB250" s="172"/>
      <c r="AC250" s="172"/>
    </row>
    <row r="251" spans="1:29" ht="18.75" thickBot="1">
      <c r="A251" t="s">
        <v>24</v>
      </c>
      <c r="B251" s="81"/>
      <c r="C251" s="45">
        <f>IF(B251&gt;1,SUM(C67:C68),IF($B241=1,SUM(C67:C68),0))</f>
        <v>0</v>
      </c>
      <c r="D251" s="45">
        <f>IF(C251&gt;1,SUM(D67:D68),IF($B241=2,SUM(D67:D68),0))</f>
        <v>0</v>
      </c>
      <c r="E251" s="45">
        <f>IF(D251&gt;1,SUM(E67:E68),IF($B241=3,SUM(E67:E68),0))</f>
        <v>0</v>
      </c>
      <c r="F251" s="45">
        <f>IF(E251&gt;1,SUM(F67:F68),IF($B241=4,SUM(F67:F68),0))</f>
        <v>0</v>
      </c>
      <c r="G251" s="45">
        <f>IF(F251&gt;1,SUM(G67:G68),IF($B241=5,SUM(G67:G68),0))</f>
        <v>0</v>
      </c>
      <c r="H251" s="45">
        <f>IF(G251&gt;1,SUM(H67:H68),IF($B241=6,SUM(H67:H68),0))</f>
        <v>0</v>
      </c>
      <c r="I251" s="45">
        <f>IF(H251&gt;1,SUM(I67:I68),IF($B241=7,SUM(I67:I68),0))</f>
        <v>0</v>
      </c>
      <c r="J251" s="45">
        <f>IF(I251&gt;1,SUM(J67:J68),IF($B241=8,SUM(J67:J68),0))</f>
        <v>0</v>
      </c>
      <c r="K251" s="45">
        <f>IF(J251&gt;1,SUM(K67:K68),IF($B241=9,SUM(K67:K68),0))</f>
        <v>0</v>
      </c>
      <c r="L251" s="45">
        <f>IF(K251&gt;1,SUM(L67:L68),IF($B241=10,SUM(L67:L68),0))</f>
        <v>0</v>
      </c>
      <c r="M251" s="45">
        <f>IF(L251&gt;1,SUM(M67:M68),IF($B241=11,SUM(M67:M68),0))</f>
        <v>0</v>
      </c>
      <c r="N251" s="45">
        <f>IF(M251&gt;1,SUM(N67:N68),IF($B241=12,SUM(N67:N68),0))</f>
        <v>0</v>
      </c>
      <c r="P251" t="s">
        <v>24</v>
      </c>
      <c r="Q251" s="81"/>
      <c r="R251" s="45">
        <f>IF(Q251&gt;1,SUM(R67:R68),IF($Q241=13,SUM(R67:R68),0))</f>
        <v>0</v>
      </c>
      <c r="S251" s="45">
        <f>IF(R251&gt;1,SUM(S67:S68),IF($Q241=14,SUM(S67:S68),0))</f>
        <v>0</v>
      </c>
      <c r="T251" s="45">
        <f>IF(S251&gt;1,SUM(T67:T68),IF($Q241=15,SUM(T67:T68),0))</f>
        <v>0</v>
      </c>
      <c r="U251" s="45">
        <f>IF(T251&gt;1,SUM(U67:U68),IF($Q241=16,SUM(U67:U68),0))</f>
        <v>0</v>
      </c>
      <c r="V251" s="45">
        <f>IF(U251&gt;1,SUM(V67:V68),IF($Q241=17,SUM(V67:V68),0))</f>
        <v>0</v>
      </c>
      <c r="W251" s="45">
        <f>IF(V251&gt;1,SUM(W67:W68),IF($Q241=18,SUM(W67:W68),0))</f>
        <v>0</v>
      </c>
      <c r="X251" s="45">
        <f>IF(W251&gt;1,SUM(X67:X68),IF($Q241=19,SUM(X67:X68),0))</f>
        <v>0</v>
      </c>
      <c r="Y251" s="45">
        <f>IF(X251&gt;1,SUM(Y67:Y68),IF($Q241=20,SUM(Y67:Y68),0))</f>
        <v>0</v>
      </c>
      <c r="Z251" s="45">
        <f>IF(Y251&gt;1,SUM(Z67:Z68),IF($Q241=21,SUM(Z67:Z68),0))</f>
        <v>0</v>
      </c>
      <c r="AA251" s="45">
        <f>IF(Z251&gt;1,SUM(AA67:AA68),IF($Q241=22,SUM(AA67:AA68),0))</f>
        <v>0</v>
      </c>
      <c r="AB251" s="45">
        <f>IF(AA251&gt;1,SUM(AB67:AB68),IF($Q241=23,SUM(AB67:AB68),0))</f>
        <v>0</v>
      </c>
      <c r="AC251" s="45">
        <f>IF(AB251&gt;1,SUM(AC67:AC68),IF($Q241=24,SUM(AC67:AC68),0))</f>
        <v>0</v>
      </c>
    </row>
    <row r="252" spans="1:29" ht="18.75" thickBot="1">
      <c r="A252" s="40" t="s">
        <v>54</v>
      </c>
      <c r="B252" s="188">
        <v>0</v>
      </c>
      <c r="C252" s="83">
        <f aca="true" t="shared" si="132" ref="C252:N252">+B252</f>
        <v>0</v>
      </c>
      <c r="D252" s="83">
        <f t="shared" si="132"/>
        <v>0</v>
      </c>
      <c r="E252" s="83">
        <f t="shared" si="132"/>
        <v>0</v>
      </c>
      <c r="F252" s="83">
        <f t="shared" si="132"/>
        <v>0</v>
      </c>
      <c r="G252" s="83">
        <f t="shared" si="132"/>
        <v>0</v>
      </c>
      <c r="H252" s="83">
        <f t="shared" si="132"/>
        <v>0</v>
      </c>
      <c r="I252" s="83">
        <f t="shared" si="132"/>
        <v>0</v>
      </c>
      <c r="J252" s="83">
        <f t="shared" si="132"/>
        <v>0</v>
      </c>
      <c r="K252" s="83">
        <f t="shared" si="132"/>
        <v>0</v>
      </c>
      <c r="L252" s="83">
        <f t="shared" si="132"/>
        <v>0</v>
      </c>
      <c r="M252" s="83">
        <f t="shared" si="132"/>
        <v>0</v>
      </c>
      <c r="N252" s="83">
        <f t="shared" si="132"/>
        <v>0</v>
      </c>
      <c r="P252" s="40" t="s">
        <v>54</v>
      </c>
      <c r="Q252" s="188">
        <f>+B252</f>
        <v>0</v>
      </c>
      <c r="R252" s="83">
        <f aca="true" t="shared" si="133" ref="R252:AC252">+Q252</f>
        <v>0</v>
      </c>
      <c r="S252" s="83">
        <f t="shared" si="133"/>
        <v>0</v>
      </c>
      <c r="T252" s="83">
        <f t="shared" si="133"/>
        <v>0</v>
      </c>
      <c r="U252" s="83">
        <f t="shared" si="133"/>
        <v>0</v>
      </c>
      <c r="V252" s="83">
        <f t="shared" si="133"/>
        <v>0</v>
      </c>
      <c r="W252" s="83">
        <f t="shared" si="133"/>
        <v>0</v>
      </c>
      <c r="X252" s="83">
        <f t="shared" si="133"/>
        <v>0</v>
      </c>
      <c r="Y252" s="83">
        <f t="shared" si="133"/>
        <v>0</v>
      </c>
      <c r="Z252" s="83">
        <f t="shared" si="133"/>
        <v>0</v>
      </c>
      <c r="AA252" s="83">
        <f t="shared" si="133"/>
        <v>0</v>
      </c>
      <c r="AB252" s="83">
        <f t="shared" si="133"/>
        <v>0</v>
      </c>
      <c r="AC252" s="83">
        <f t="shared" si="133"/>
        <v>0</v>
      </c>
    </row>
    <row r="253" spans="1:29" ht="18">
      <c r="A253" s="161" t="s">
        <v>59</v>
      </c>
      <c r="B253" s="161"/>
      <c r="C253" s="77">
        <f aca="true" t="shared" si="134" ref="C253:N253">+C251*C252</f>
        <v>0</v>
      </c>
      <c r="D253" s="77">
        <f t="shared" si="134"/>
        <v>0</v>
      </c>
      <c r="E253" s="77">
        <f t="shared" si="134"/>
        <v>0</v>
      </c>
      <c r="F253" s="77">
        <f t="shared" si="134"/>
        <v>0</v>
      </c>
      <c r="G253" s="77">
        <f t="shared" si="134"/>
        <v>0</v>
      </c>
      <c r="H253" s="77">
        <f t="shared" si="134"/>
        <v>0</v>
      </c>
      <c r="I253" s="77">
        <f t="shared" si="134"/>
        <v>0</v>
      </c>
      <c r="J253" s="77">
        <f t="shared" si="134"/>
        <v>0</v>
      </c>
      <c r="K253" s="77">
        <f t="shared" si="134"/>
        <v>0</v>
      </c>
      <c r="L253" s="77">
        <f t="shared" si="134"/>
        <v>0</v>
      </c>
      <c r="M253" s="77">
        <f t="shared" si="134"/>
        <v>0</v>
      </c>
      <c r="N253" s="77">
        <f t="shared" si="134"/>
        <v>0</v>
      </c>
      <c r="P253" s="161" t="s">
        <v>59</v>
      </c>
      <c r="Q253" s="161"/>
      <c r="R253" s="77">
        <f aca="true" t="shared" si="135" ref="R253:AC253">+R251*R252</f>
        <v>0</v>
      </c>
      <c r="S253" s="77">
        <f t="shared" si="135"/>
        <v>0</v>
      </c>
      <c r="T253" s="77">
        <f t="shared" si="135"/>
        <v>0</v>
      </c>
      <c r="U253" s="77">
        <f t="shared" si="135"/>
        <v>0</v>
      </c>
      <c r="V253" s="77">
        <f t="shared" si="135"/>
        <v>0</v>
      </c>
      <c r="W253" s="77">
        <f t="shared" si="135"/>
        <v>0</v>
      </c>
      <c r="X253" s="77">
        <f t="shared" si="135"/>
        <v>0</v>
      </c>
      <c r="Y253" s="77">
        <f t="shared" si="135"/>
        <v>0</v>
      </c>
      <c r="Z253" s="77">
        <f t="shared" si="135"/>
        <v>0</v>
      </c>
      <c r="AA253" s="77">
        <f t="shared" si="135"/>
        <v>0</v>
      </c>
      <c r="AB253" s="77">
        <f t="shared" si="135"/>
        <v>0</v>
      </c>
      <c r="AC253" s="77">
        <f t="shared" si="135"/>
        <v>0</v>
      </c>
    </row>
    <row r="254" spans="1:29" ht="18.75" thickBot="1">
      <c r="A254" s="13"/>
      <c r="B254" s="13"/>
      <c r="C254" s="160"/>
      <c r="D254" s="160"/>
      <c r="E254" s="160"/>
      <c r="F254" s="160"/>
      <c r="G254" s="160"/>
      <c r="H254" s="160"/>
      <c r="I254" s="160"/>
      <c r="J254" s="160"/>
      <c r="K254" s="160"/>
      <c r="L254" s="160"/>
      <c r="M254" s="160"/>
      <c r="N254" s="160"/>
      <c r="P254" s="13"/>
      <c r="Q254" s="13"/>
      <c r="R254" s="160"/>
      <c r="S254" s="160"/>
      <c r="T254" s="160"/>
      <c r="U254" s="160"/>
      <c r="V254" s="160"/>
      <c r="W254" s="160"/>
      <c r="X254" s="160"/>
      <c r="Y254" s="160"/>
      <c r="Z254" s="160"/>
      <c r="AA254" s="160"/>
      <c r="AB254" s="160"/>
      <c r="AC254" s="160"/>
    </row>
    <row r="255" spans="1:29" ht="18.75" thickBot="1">
      <c r="A255" t="s">
        <v>55</v>
      </c>
      <c r="B255" s="188">
        <v>0.1</v>
      </c>
      <c r="C255" s="103">
        <f aca="true" t="shared" si="136" ref="C255:N255">+B255</f>
        <v>0.1</v>
      </c>
      <c r="D255" s="103">
        <f t="shared" si="136"/>
        <v>0.1</v>
      </c>
      <c r="E255" s="103">
        <f t="shared" si="136"/>
        <v>0.1</v>
      </c>
      <c r="F255" s="103">
        <f t="shared" si="136"/>
        <v>0.1</v>
      </c>
      <c r="G255" s="103">
        <f t="shared" si="136"/>
        <v>0.1</v>
      </c>
      <c r="H255" s="103">
        <f t="shared" si="136"/>
        <v>0.1</v>
      </c>
      <c r="I255" s="103">
        <f t="shared" si="136"/>
        <v>0.1</v>
      </c>
      <c r="J255" s="103">
        <f t="shared" si="136"/>
        <v>0.1</v>
      </c>
      <c r="K255" s="103">
        <f t="shared" si="136"/>
        <v>0.1</v>
      </c>
      <c r="L255" s="103">
        <f t="shared" si="136"/>
        <v>0.1</v>
      </c>
      <c r="M255" s="103">
        <f t="shared" si="136"/>
        <v>0.1</v>
      </c>
      <c r="N255" s="103">
        <f t="shared" si="136"/>
        <v>0.1</v>
      </c>
      <c r="P255" t="s">
        <v>55</v>
      </c>
      <c r="Q255" s="188">
        <f>+B255</f>
        <v>0.1</v>
      </c>
      <c r="R255" s="103">
        <f aca="true" t="shared" si="137" ref="R255:AC255">+Q255</f>
        <v>0.1</v>
      </c>
      <c r="S255" s="103">
        <f t="shared" si="137"/>
        <v>0.1</v>
      </c>
      <c r="T255" s="103">
        <f t="shared" si="137"/>
        <v>0.1</v>
      </c>
      <c r="U255" s="103">
        <f t="shared" si="137"/>
        <v>0.1</v>
      </c>
      <c r="V255" s="103">
        <f t="shared" si="137"/>
        <v>0.1</v>
      </c>
      <c r="W255" s="103">
        <f t="shared" si="137"/>
        <v>0.1</v>
      </c>
      <c r="X255" s="103">
        <f t="shared" si="137"/>
        <v>0.1</v>
      </c>
      <c r="Y255" s="103">
        <f t="shared" si="137"/>
        <v>0.1</v>
      </c>
      <c r="Z255" s="103">
        <f t="shared" si="137"/>
        <v>0.1</v>
      </c>
      <c r="AA255" s="103">
        <f t="shared" si="137"/>
        <v>0.1</v>
      </c>
      <c r="AB255" s="103">
        <f t="shared" si="137"/>
        <v>0.1</v>
      </c>
      <c r="AC255" s="103">
        <f t="shared" si="137"/>
        <v>0.1</v>
      </c>
    </row>
    <row r="256" spans="4:29" ht="18">
      <c r="D256" s="103"/>
      <c r="E256" s="103"/>
      <c r="F256" s="103"/>
      <c r="G256" s="103"/>
      <c r="H256" s="103"/>
      <c r="I256" s="103"/>
      <c r="J256" s="103"/>
      <c r="K256" s="103"/>
      <c r="L256" s="103"/>
      <c r="M256" s="103"/>
      <c r="N256" s="103"/>
      <c r="S256" s="103"/>
      <c r="T256" s="103"/>
      <c r="U256" s="103"/>
      <c r="V256" s="103"/>
      <c r="W256" s="103"/>
      <c r="X256" s="103"/>
      <c r="Y256" s="103"/>
      <c r="Z256" s="103"/>
      <c r="AA256" s="103"/>
      <c r="AB256" s="103"/>
      <c r="AC256" s="103"/>
    </row>
    <row r="257" spans="1:29" ht="18">
      <c r="A257" t="s">
        <v>119</v>
      </c>
      <c r="C257" s="61">
        <f>+(C245+C249+C253)*(B255/12)</f>
        <v>0</v>
      </c>
      <c r="D257" s="61">
        <f aca="true" t="shared" si="138" ref="D257:N257">+(D245+D249+D253)*(C255/12)</f>
        <v>0</v>
      </c>
      <c r="E257" s="61">
        <f t="shared" si="138"/>
        <v>0</v>
      </c>
      <c r="F257" s="61">
        <f t="shared" si="138"/>
        <v>0</v>
      </c>
      <c r="G257" s="61">
        <f t="shared" si="138"/>
        <v>0</v>
      </c>
      <c r="H257" s="61">
        <f t="shared" si="138"/>
        <v>0</v>
      </c>
      <c r="I257" s="61">
        <f t="shared" si="138"/>
        <v>0</v>
      </c>
      <c r="J257" s="61">
        <f t="shared" si="138"/>
        <v>0</v>
      </c>
      <c r="K257" s="61">
        <f t="shared" si="138"/>
        <v>0</v>
      </c>
      <c r="L257" s="61">
        <f t="shared" si="138"/>
        <v>0</v>
      </c>
      <c r="M257" s="61">
        <f t="shared" si="138"/>
        <v>0</v>
      </c>
      <c r="N257" s="61">
        <f t="shared" si="138"/>
        <v>0</v>
      </c>
      <c r="P257" t="s">
        <v>119</v>
      </c>
      <c r="R257" s="61">
        <f aca="true" t="shared" si="139" ref="R257:AC257">+(R245+R249+R253)*(Q255/12)</f>
        <v>0</v>
      </c>
      <c r="S257" s="61">
        <f t="shared" si="139"/>
        <v>0</v>
      </c>
      <c r="T257" s="61">
        <f t="shared" si="139"/>
        <v>0</v>
      </c>
      <c r="U257" s="61">
        <f t="shared" si="139"/>
        <v>0</v>
      </c>
      <c r="V257" s="61">
        <f t="shared" si="139"/>
        <v>0</v>
      </c>
      <c r="W257" s="61">
        <f t="shared" si="139"/>
        <v>0</v>
      </c>
      <c r="X257" s="61">
        <f t="shared" si="139"/>
        <v>0</v>
      </c>
      <c r="Y257" s="61">
        <f t="shared" si="139"/>
        <v>0</v>
      </c>
      <c r="Z257" s="61">
        <f t="shared" si="139"/>
        <v>0</v>
      </c>
      <c r="AA257" s="61">
        <f t="shared" si="139"/>
        <v>0</v>
      </c>
      <c r="AB257" s="61">
        <f t="shared" si="139"/>
        <v>0</v>
      </c>
      <c r="AC257" s="61">
        <f t="shared" si="139"/>
        <v>0</v>
      </c>
    </row>
    <row r="258" spans="1:29" ht="18">
      <c r="A258" s="13"/>
      <c r="B258" s="13"/>
      <c r="C258" s="13"/>
      <c r="D258" s="13"/>
      <c r="E258" s="13"/>
      <c r="F258" s="13"/>
      <c r="G258" s="13"/>
      <c r="H258" s="13"/>
      <c r="I258" s="13"/>
      <c r="J258" s="13"/>
      <c r="K258" s="13"/>
      <c r="L258" s="13"/>
      <c r="M258" s="13"/>
      <c r="N258" s="13"/>
      <c r="P258" s="13"/>
      <c r="Q258" s="13"/>
      <c r="R258" s="13"/>
      <c r="S258" s="13"/>
      <c r="T258" s="13"/>
      <c r="U258" s="13"/>
      <c r="V258" s="13"/>
      <c r="W258" s="13"/>
      <c r="X258" s="13"/>
      <c r="Y258" s="13"/>
      <c r="Z258" s="13"/>
      <c r="AA258" s="13"/>
      <c r="AB258" s="13"/>
      <c r="AC258" s="13"/>
    </row>
    <row r="259" spans="1:30" ht="18">
      <c r="A259" s="161" t="s">
        <v>100</v>
      </c>
      <c r="B259" s="161"/>
      <c r="C259" s="53">
        <f aca="true" t="shared" si="140" ref="C259:N259">+C245+C249+C253</f>
        <v>0</v>
      </c>
      <c r="D259" s="54">
        <f t="shared" si="140"/>
        <v>0</v>
      </c>
      <c r="E259" s="54">
        <f t="shared" si="140"/>
        <v>0</v>
      </c>
      <c r="F259" s="54">
        <f t="shared" si="140"/>
        <v>0</v>
      </c>
      <c r="G259" s="54">
        <f t="shared" si="140"/>
        <v>0</v>
      </c>
      <c r="H259" s="54">
        <f t="shared" si="140"/>
        <v>0</v>
      </c>
      <c r="I259" s="54">
        <f t="shared" si="140"/>
        <v>0</v>
      </c>
      <c r="J259" s="54">
        <f t="shared" si="140"/>
        <v>0</v>
      </c>
      <c r="K259" s="54">
        <f t="shared" si="140"/>
        <v>0</v>
      </c>
      <c r="L259" s="54">
        <f t="shared" si="140"/>
        <v>0</v>
      </c>
      <c r="M259" s="54">
        <f t="shared" si="140"/>
        <v>0</v>
      </c>
      <c r="N259" s="55">
        <f t="shared" si="140"/>
        <v>0</v>
      </c>
      <c r="O259" s="161"/>
      <c r="P259" s="161" t="s">
        <v>100</v>
      </c>
      <c r="Q259" s="161"/>
      <c r="R259" s="53">
        <f aca="true" t="shared" si="141" ref="R259:AC259">+R245+R249+R253</f>
        <v>0</v>
      </c>
      <c r="S259" s="54">
        <f t="shared" si="141"/>
        <v>0</v>
      </c>
      <c r="T259" s="54">
        <f t="shared" si="141"/>
        <v>0</v>
      </c>
      <c r="U259" s="54">
        <f t="shared" si="141"/>
        <v>0</v>
      </c>
      <c r="V259" s="54">
        <f t="shared" si="141"/>
        <v>0</v>
      </c>
      <c r="W259" s="54">
        <f t="shared" si="141"/>
        <v>0</v>
      </c>
      <c r="X259" s="54">
        <f t="shared" si="141"/>
        <v>0</v>
      </c>
      <c r="Y259" s="54">
        <f t="shared" si="141"/>
        <v>0</v>
      </c>
      <c r="Z259" s="54">
        <f t="shared" si="141"/>
        <v>0</v>
      </c>
      <c r="AA259" s="54">
        <f t="shared" si="141"/>
        <v>0</v>
      </c>
      <c r="AB259" s="54">
        <f t="shared" si="141"/>
        <v>0</v>
      </c>
      <c r="AC259" s="55">
        <f t="shared" si="141"/>
        <v>0</v>
      </c>
      <c r="AD259" s="161"/>
    </row>
    <row r="260" spans="1:30" ht="18">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row>
    <row r="261" spans="1:17" ht="23.25">
      <c r="A261" s="85" t="s">
        <v>72</v>
      </c>
      <c r="B261" s="102"/>
      <c r="P261" s="85" t="s">
        <v>72</v>
      </c>
      <c r="Q261" s="102"/>
    </row>
    <row r="262" ht="18.75" thickBot="1"/>
    <row r="263" spans="1:18" ht="18.75" thickBot="1">
      <c r="A263" s="87" t="s">
        <v>118</v>
      </c>
      <c r="B263" s="189">
        <v>0</v>
      </c>
      <c r="C263" s="539">
        <f>IF(B263&gt;0,IF(B252&gt;0,"Assets cannot be financed twice   Change '% of assets financed' in cell B248 above to zero.",""),"")</f>
      </c>
      <c r="P263" s="87" t="s">
        <v>436</v>
      </c>
      <c r="Q263" s="189">
        <f>IF(B263&gt;0,13,0)</f>
        <v>0</v>
      </c>
      <c r="R263" s="539">
        <f>IF(Q263&gt;0,IF(Q252&gt;0,"Assets cannot be financed twice   Change '% of assets financed' in cell B248 above to zero.",""),"")</f>
      </c>
    </row>
    <row r="265" spans="1:29" ht="18.75" thickBot="1">
      <c r="A265" t="s">
        <v>24</v>
      </c>
      <c r="C265" s="84">
        <f>IF(B263=1,C70-C69,0)</f>
        <v>0</v>
      </c>
      <c r="D265" s="84">
        <f>IF(C265&gt;1,D70-D69,IF(B263=2,D70-D69,0))</f>
        <v>0</v>
      </c>
      <c r="E265" s="84">
        <f>IF(D265&gt;1,E70-E69,IF(B263=3,E70-E69,0))</f>
        <v>0</v>
      </c>
      <c r="F265" s="84">
        <f>IF(E265&gt;1,F70-F69,IF(B263=4,F70-F69,0))</f>
        <v>0</v>
      </c>
      <c r="G265" s="84">
        <f>IF(F265&gt;1,G70-G69,IF(B263=5,G70-G69,0))</f>
        <v>0</v>
      </c>
      <c r="H265" s="84">
        <f>IF(G265&gt;1,H70-H69,IF(B263=6,H70-H69-H70,0))</f>
        <v>0</v>
      </c>
      <c r="I265" s="84">
        <f>IF(H265&gt;1,I70-I69,IF(B263=7,I70-I69,0))</f>
        <v>0</v>
      </c>
      <c r="J265" s="84">
        <f>IF(I265&gt;1,J70-J69,IF(B263=8,J70-J69,0))</f>
        <v>0</v>
      </c>
      <c r="K265" s="84">
        <f>IF(J265&gt;1,K70-K69,IF(B263=9,K70-K69,0))</f>
        <v>0</v>
      </c>
      <c r="L265" s="84">
        <f>IF(K265&gt;1,L70-L69,IF(B263=10,L70-L69,0))</f>
        <v>0</v>
      </c>
      <c r="M265" s="84">
        <f>IF(L265&gt;1,M70-M69,IF(B263=11,M70-M69,0))</f>
        <v>0</v>
      </c>
      <c r="N265" s="84">
        <f>IF(M265&gt;1,N70-N69,IF(B263=12,N70-N69,0))</f>
        <v>0</v>
      </c>
      <c r="P265" t="s">
        <v>24</v>
      </c>
      <c r="R265" s="84">
        <f>IF(Q265&gt;1,R70+R69,IF(Q263=13,R70-R69,0))</f>
        <v>0</v>
      </c>
      <c r="S265" s="84">
        <f>IF(R265&gt;1,S70-S69,IF(Q263=14,S70-S69,0))</f>
        <v>0</v>
      </c>
      <c r="T265" s="84">
        <f>IF(S265&gt;1,T70-T69,IF(Q263=15,T70-T69,0))</f>
        <v>0</v>
      </c>
      <c r="U265" s="84">
        <f>IF(T265&gt;1,U70-U69,IF(Q263=16,U70-U69,0))</f>
        <v>0</v>
      </c>
      <c r="V265" s="84">
        <f>IF(U265&gt;1,V70-V69,IF(Q263=17,V70-V69,0))</f>
        <v>0</v>
      </c>
      <c r="W265" s="84">
        <f>IF(V265&gt;1,W70-W69,IF(Q263=18,W70-W69-W70,0))</f>
        <v>0</v>
      </c>
      <c r="X265" s="84">
        <f>IF(W265&gt;1,X70-X69,IF(Q263=19,X70-X69,0))</f>
        <v>0</v>
      </c>
      <c r="Y265" s="84">
        <f>IF(X265&gt;1,Y70-Y69,IF(Q263=20,Y70-Y69,0))</f>
        <v>0</v>
      </c>
      <c r="Z265" s="84">
        <f>IF(Y265&gt;1,Z70-Z69,IF(Q263=21,Z70-Z69,0))</f>
        <v>0</v>
      </c>
      <c r="AA265" s="84">
        <f>IF(Z265&gt;1,AA70-AA69,IF(Q263=22,AA70-AA69,0))</f>
        <v>0</v>
      </c>
      <c r="AB265" s="84">
        <f>IF(AA265&gt;1,AB70-AB69,IF(Q263=23,AB70-AB69,0))</f>
        <v>0</v>
      </c>
      <c r="AC265" s="84">
        <f>IF(AB265&gt;1,AC70-AC69,IF(Q263=24,AC70-AC69,0))</f>
        <v>0</v>
      </c>
    </row>
    <row r="266" spans="1:29" ht="18.75" thickBot="1">
      <c r="A266" s="40" t="s">
        <v>63</v>
      </c>
      <c r="B266" s="188">
        <v>0.75</v>
      </c>
      <c r="C266" s="83">
        <f aca="true" t="shared" si="142" ref="C266:N266">+B266</f>
        <v>0.75</v>
      </c>
      <c r="D266" s="83">
        <f t="shared" si="142"/>
        <v>0.75</v>
      </c>
      <c r="E266" s="83">
        <f t="shared" si="142"/>
        <v>0.75</v>
      </c>
      <c r="F266" s="83">
        <f t="shared" si="142"/>
        <v>0.75</v>
      </c>
      <c r="G266" s="83">
        <f t="shared" si="142"/>
        <v>0.75</v>
      </c>
      <c r="H266" s="83">
        <f t="shared" si="142"/>
        <v>0.75</v>
      </c>
      <c r="I266" s="83">
        <f t="shared" si="142"/>
        <v>0.75</v>
      </c>
      <c r="J266" s="83">
        <f t="shared" si="142"/>
        <v>0.75</v>
      </c>
      <c r="K266" s="83">
        <f t="shared" si="142"/>
        <v>0.75</v>
      </c>
      <c r="L266" s="83">
        <f t="shared" si="142"/>
        <v>0.75</v>
      </c>
      <c r="M266" s="83">
        <f t="shared" si="142"/>
        <v>0.75</v>
      </c>
      <c r="N266" s="83">
        <f t="shared" si="142"/>
        <v>0.75</v>
      </c>
      <c r="P266" s="40" t="s">
        <v>63</v>
      </c>
      <c r="Q266" s="188">
        <f>B266</f>
        <v>0.75</v>
      </c>
      <c r="R266" s="83">
        <f aca="true" t="shared" si="143" ref="R266:AC266">+Q266</f>
        <v>0.75</v>
      </c>
      <c r="S266" s="83">
        <f t="shared" si="143"/>
        <v>0.75</v>
      </c>
      <c r="T266" s="83">
        <f t="shared" si="143"/>
        <v>0.75</v>
      </c>
      <c r="U266" s="83">
        <f t="shared" si="143"/>
        <v>0.75</v>
      </c>
      <c r="V266" s="83">
        <f t="shared" si="143"/>
        <v>0.75</v>
      </c>
      <c r="W266" s="83">
        <f t="shared" si="143"/>
        <v>0.75</v>
      </c>
      <c r="X266" s="83">
        <f t="shared" si="143"/>
        <v>0.75</v>
      </c>
      <c r="Y266" s="83">
        <f t="shared" si="143"/>
        <v>0.75</v>
      </c>
      <c r="Z266" s="83">
        <f t="shared" si="143"/>
        <v>0.75</v>
      </c>
      <c r="AA266" s="83">
        <f t="shared" si="143"/>
        <v>0.75</v>
      </c>
      <c r="AB266" s="83">
        <f t="shared" si="143"/>
        <v>0.75</v>
      </c>
      <c r="AC266" s="83">
        <f t="shared" si="143"/>
        <v>0.75</v>
      </c>
    </row>
    <row r="267" spans="1:29" ht="18">
      <c r="A267" s="161" t="s">
        <v>62</v>
      </c>
      <c r="B267" s="161"/>
      <c r="C267" s="77">
        <f>+C265*C266</f>
        <v>0</v>
      </c>
      <c r="D267" s="77">
        <f aca="true" t="shared" si="144" ref="D267:N267">+D265*D266</f>
        <v>0</v>
      </c>
      <c r="E267" s="77">
        <f t="shared" si="144"/>
        <v>0</v>
      </c>
      <c r="F267" s="77">
        <f t="shared" si="144"/>
        <v>0</v>
      </c>
      <c r="G267" s="77">
        <f t="shared" si="144"/>
        <v>0</v>
      </c>
      <c r="H267" s="77">
        <f t="shared" si="144"/>
        <v>0</v>
      </c>
      <c r="I267" s="77">
        <f t="shared" si="144"/>
        <v>0</v>
      </c>
      <c r="J267" s="77">
        <f t="shared" si="144"/>
        <v>0</v>
      </c>
      <c r="K267" s="77">
        <f t="shared" si="144"/>
        <v>0</v>
      </c>
      <c r="L267" s="77">
        <f t="shared" si="144"/>
        <v>0</v>
      </c>
      <c r="M267" s="77">
        <f t="shared" si="144"/>
        <v>0</v>
      </c>
      <c r="N267" s="77">
        <f t="shared" si="144"/>
        <v>0</v>
      </c>
      <c r="P267" s="161" t="s">
        <v>62</v>
      </c>
      <c r="Q267" s="161"/>
      <c r="R267" s="77">
        <f aca="true" t="shared" si="145" ref="R267:AC267">+R265*R266</f>
        <v>0</v>
      </c>
      <c r="S267" s="77">
        <f t="shared" si="145"/>
        <v>0</v>
      </c>
      <c r="T267" s="77">
        <f t="shared" si="145"/>
        <v>0</v>
      </c>
      <c r="U267" s="77">
        <f t="shared" si="145"/>
        <v>0</v>
      </c>
      <c r="V267" s="77">
        <f t="shared" si="145"/>
        <v>0</v>
      </c>
      <c r="W267" s="77">
        <f t="shared" si="145"/>
        <v>0</v>
      </c>
      <c r="X267" s="77">
        <f t="shared" si="145"/>
        <v>0</v>
      </c>
      <c r="Y267" s="77">
        <f t="shared" si="145"/>
        <v>0</v>
      </c>
      <c r="Z267" s="77">
        <f t="shared" si="145"/>
        <v>0</v>
      </c>
      <c r="AA267" s="77">
        <f t="shared" si="145"/>
        <v>0</v>
      </c>
      <c r="AB267" s="77">
        <f t="shared" si="145"/>
        <v>0</v>
      </c>
      <c r="AC267" s="77">
        <f t="shared" si="145"/>
        <v>0</v>
      </c>
    </row>
    <row r="268" spans="1:29" ht="18">
      <c r="A268" s="13"/>
      <c r="B268" s="13"/>
      <c r="C268" s="13"/>
      <c r="D268" s="13"/>
      <c r="E268" s="13"/>
      <c r="F268" s="13"/>
      <c r="G268" s="13"/>
      <c r="H268" s="13"/>
      <c r="I268" s="13"/>
      <c r="J268" s="13"/>
      <c r="K268" s="13"/>
      <c r="L268" s="13"/>
      <c r="M268" s="13"/>
      <c r="N268" s="13"/>
      <c r="P268" s="13"/>
      <c r="Q268" s="13"/>
      <c r="R268" s="13"/>
      <c r="S268" s="13"/>
      <c r="T268" s="13"/>
      <c r="U268" s="13"/>
      <c r="V268" s="13"/>
      <c r="W268" s="13"/>
      <c r="X268" s="13"/>
      <c r="Y268" s="13"/>
      <c r="Z268" s="13"/>
      <c r="AA268" s="13"/>
      <c r="AB268" s="13"/>
      <c r="AC268" s="13"/>
    </row>
    <row r="269" spans="1:29" ht="18.75" thickBot="1">
      <c r="A269" t="s">
        <v>57</v>
      </c>
      <c r="C269" s="89">
        <f aca="true" t="shared" si="146" ref="C269:N269">IF(C267=0,0,C275/C267)</f>
        <v>0</v>
      </c>
      <c r="D269" s="89">
        <f t="shared" si="146"/>
        <v>0</v>
      </c>
      <c r="E269" s="89">
        <f t="shared" si="146"/>
        <v>0</v>
      </c>
      <c r="F269" s="89">
        <f t="shared" si="146"/>
        <v>0</v>
      </c>
      <c r="G269" s="89">
        <f t="shared" si="146"/>
        <v>0</v>
      </c>
      <c r="H269" s="89">
        <f t="shared" si="146"/>
        <v>0</v>
      </c>
      <c r="I269" s="89">
        <f t="shared" si="146"/>
        <v>0</v>
      </c>
      <c r="J269" s="89">
        <f t="shared" si="146"/>
        <v>0</v>
      </c>
      <c r="K269" s="89">
        <f t="shared" si="146"/>
        <v>0</v>
      </c>
      <c r="L269" s="89">
        <f t="shared" si="146"/>
        <v>0</v>
      </c>
      <c r="M269" s="89">
        <f t="shared" si="146"/>
        <v>0</v>
      </c>
      <c r="N269" s="89">
        <f t="shared" si="146"/>
        <v>0</v>
      </c>
      <c r="P269" t="s">
        <v>57</v>
      </c>
      <c r="R269" s="89">
        <f aca="true" t="shared" si="147" ref="R269:AC269">IF(R267=0,0,R275/R267)</f>
        <v>0</v>
      </c>
      <c r="S269" s="89">
        <f t="shared" si="147"/>
        <v>0</v>
      </c>
      <c r="T269" s="89">
        <f t="shared" si="147"/>
        <v>0</v>
      </c>
      <c r="U269" s="89">
        <f t="shared" si="147"/>
        <v>0</v>
      </c>
      <c r="V269" s="89">
        <f t="shared" si="147"/>
        <v>0</v>
      </c>
      <c r="W269" s="89">
        <f t="shared" si="147"/>
        <v>0</v>
      </c>
      <c r="X269" s="89">
        <f t="shared" si="147"/>
        <v>0</v>
      </c>
      <c r="Y269" s="89">
        <f t="shared" si="147"/>
        <v>0</v>
      </c>
      <c r="Z269" s="89">
        <f t="shared" si="147"/>
        <v>0</v>
      </c>
      <c r="AA269" s="89">
        <f t="shared" si="147"/>
        <v>0</v>
      </c>
      <c r="AB269" s="89">
        <f t="shared" si="147"/>
        <v>0</v>
      </c>
      <c r="AC269" s="89">
        <f t="shared" si="147"/>
        <v>0</v>
      </c>
    </row>
    <row r="270" spans="1:29" ht="18.75" thickBot="1">
      <c r="A270" t="s">
        <v>55</v>
      </c>
      <c r="B270" s="188">
        <v>0.08</v>
      </c>
      <c r="C270" s="82">
        <f aca="true" t="shared" si="148" ref="C270:N270">B270</f>
        <v>0.08</v>
      </c>
      <c r="D270" s="82">
        <f t="shared" si="148"/>
        <v>0.08</v>
      </c>
      <c r="E270" s="82">
        <f t="shared" si="148"/>
        <v>0.08</v>
      </c>
      <c r="F270" s="82">
        <f t="shared" si="148"/>
        <v>0.08</v>
      </c>
      <c r="G270" s="82">
        <f t="shared" si="148"/>
        <v>0.08</v>
      </c>
      <c r="H270" s="82">
        <f t="shared" si="148"/>
        <v>0.08</v>
      </c>
      <c r="I270" s="82">
        <f t="shared" si="148"/>
        <v>0.08</v>
      </c>
      <c r="J270" s="82">
        <f t="shared" si="148"/>
        <v>0.08</v>
      </c>
      <c r="K270" s="82">
        <f t="shared" si="148"/>
        <v>0.08</v>
      </c>
      <c r="L270" s="82">
        <f t="shared" si="148"/>
        <v>0.08</v>
      </c>
      <c r="M270" s="82">
        <f t="shared" si="148"/>
        <v>0.08</v>
      </c>
      <c r="N270" s="82">
        <f t="shared" si="148"/>
        <v>0.08</v>
      </c>
      <c r="P270" t="s">
        <v>55</v>
      </c>
      <c r="Q270" s="188">
        <f>+B270</f>
        <v>0.08</v>
      </c>
      <c r="R270" s="82">
        <f aca="true" t="shared" si="149" ref="R270:AC270">Q270</f>
        <v>0.08</v>
      </c>
      <c r="S270" s="82">
        <f t="shared" si="149"/>
        <v>0.08</v>
      </c>
      <c r="T270" s="82">
        <f t="shared" si="149"/>
        <v>0.08</v>
      </c>
      <c r="U270" s="82">
        <f t="shared" si="149"/>
        <v>0.08</v>
      </c>
      <c r="V270" s="82">
        <f t="shared" si="149"/>
        <v>0.08</v>
      </c>
      <c r="W270" s="82">
        <f t="shared" si="149"/>
        <v>0.08</v>
      </c>
      <c r="X270" s="82">
        <f t="shared" si="149"/>
        <v>0.08</v>
      </c>
      <c r="Y270" s="82">
        <f t="shared" si="149"/>
        <v>0.08</v>
      </c>
      <c r="Z270" s="82">
        <f t="shared" si="149"/>
        <v>0.08</v>
      </c>
      <c r="AA270" s="82">
        <f t="shared" si="149"/>
        <v>0.08</v>
      </c>
      <c r="AB270" s="82">
        <f t="shared" si="149"/>
        <v>0.08</v>
      </c>
      <c r="AC270" s="82">
        <f t="shared" si="149"/>
        <v>0.08</v>
      </c>
    </row>
    <row r="271" spans="1:29" ht="18.75" thickBot="1">
      <c r="A271" t="s">
        <v>56</v>
      </c>
      <c r="B271" s="189">
        <v>36</v>
      </c>
      <c r="C271" s="61">
        <f aca="true" t="shared" si="150" ref="C271:N271">B271</f>
        <v>36</v>
      </c>
      <c r="D271" s="61">
        <f t="shared" si="150"/>
        <v>36</v>
      </c>
      <c r="E271" s="61">
        <f t="shared" si="150"/>
        <v>36</v>
      </c>
      <c r="F271" s="61">
        <f t="shared" si="150"/>
        <v>36</v>
      </c>
      <c r="G271" s="61">
        <f t="shared" si="150"/>
        <v>36</v>
      </c>
      <c r="H271" s="61">
        <f t="shared" si="150"/>
        <v>36</v>
      </c>
      <c r="I271" s="61">
        <f t="shared" si="150"/>
        <v>36</v>
      </c>
      <c r="J271" s="61">
        <f t="shared" si="150"/>
        <v>36</v>
      </c>
      <c r="K271" s="61">
        <f t="shared" si="150"/>
        <v>36</v>
      </c>
      <c r="L271" s="61">
        <f t="shared" si="150"/>
        <v>36</v>
      </c>
      <c r="M271" s="61">
        <f t="shared" si="150"/>
        <v>36</v>
      </c>
      <c r="N271" s="61">
        <f t="shared" si="150"/>
        <v>36</v>
      </c>
      <c r="P271" t="s">
        <v>56</v>
      </c>
      <c r="Q271" s="189">
        <f>+B271</f>
        <v>36</v>
      </c>
      <c r="R271" s="61">
        <f aca="true" t="shared" si="151" ref="R271:AC271">Q271</f>
        <v>36</v>
      </c>
      <c r="S271" s="61">
        <f t="shared" si="151"/>
        <v>36</v>
      </c>
      <c r="T271" s="61">
        <f t="shared" si="151"/>
        <v>36</v>
      </c>
      <c r="U271" s="61">
        <f t="shared" si="151"/>
        <v>36</v>
      </c>
      <c r="V271" s="61">
        <f t="shared" si="151"/>
        <v>36</v>
      </c>
      <c r="W271" s="61">
        <f t="shared" si="151"/>
        <v>36</v>
      </c>
      <c r="X271" s="61">
        <f t="shared" si="151"/>
        <v>36</v>
      </c>
      <c r="Y271" s="61">
        <f t="shared" si="151"/>
        <v>36</v>
      </c>
      <c r="Z271" s="61">
        <f t="shared" si="151"/>
        <v>36</v>
      </c>
      <c r="AA271" s="61">
        <f t="shared" si="151"/>
        <v>36</v>
      </c>
      <c r="AB271" s="61">
        <f t="shared" si="151"/>
        <v>36</v>
      </c>
      <c r="AC271" s="61">
        <f t="shared" si="151"/>
        <v>36</v>
      </c>
    </row>
    <row r="272" spans="3:29" ht="18">
      <c r="C272" s="13"/>
      <c r="D272" s="13"/>
      <c r="E272" s="13"/>
      <c r="F272" s="13"/>
      <c r="G272" s="13"/>
      <c r="H272" s="13"/>
      <c r="I272" s="13"/>
      <c r="J272" s="13"/>
      <c r="K272" s="13"/>
      <c r="L272" s="13"/>
      <c r="M272" s="13"/>
      <c r="N272" s="13"/>
      <c r="R272" s="40"/>
      <c r="S272" s="40"/>
      <c r="T272" s="40"/>
      <c r="U272" s="40"/>
      <c r="V272" s="40"/>
      <c r="W272" s="40"/>
      <c r="X272" s="40"/>
      <c r="Y272" s="40"/>
      <c r="Z272" s="40"/>
      <c r="AA272" s="40"/>
      <c r="AB272" s="40"/>
      <c r="AC272" s="40"/>
    </row>
    <row r="273" spans="1:30" ht="18">
      <c r="A273" t="s">
        <v>80</v>
      </c>
      <c r="B273" s="13"/>
      <c r="C273" s="76">
        <f>IF(B263&gt;0,0,+C267*B270/12)</f>
        <v>0</v>
      </c>
      <c r="D273" s="77">
        <f>IF($B263&gt;1,0,+D267*C270/12)</f>
        <v>0</v>
      </c>
      <c r="E273" s="77">
        <f>IF($B263&gt;2,0,+E267*D270/12)</f>
        <v>0</v>
      </c>
      <c r="F273" s="77">
        <f>IF($B263&gt;3,0,+F267*E270/12)</f>
        <v>0</v>
      </c>
      <c r="G273" s="77">
        <f>IF($B263&gt;4,0,+G267*F270/12)</f>
        <v>0</v>
      </c>
      <c r="H273" s="77">
        <f>IF($B263&gt;5,0,+H267*G270/12)</f>
        <v>0</v>
      </c>
      <c r="I273" s="77">
        <f>IF($B263&gt;6,0,+I267*H270/12)</f>
        <v>0</v>
      </c>
      <c r="J273" s="77">
        <f>IF($B263&gt;7,0,+J267*I270/12)</f>
        <v>0</v>
      </c>
      <c r="K273" s="77">
        <f>IF($B263&gt;8,0,+K267*J270/12)</f>
        <v>0</v>
      </c>
      <c r="L273" s="77">
        <f>IF($B263&gt;9,0,+L267*K270/12)</f>
        <v>0</v>
      </c>
      <c r="M273" s="77">
        <f>IF($B263&gt;10,0,+M267*L270/12)</f>
        <v>0</v>
      </c>
      <c r="N273" s="78">
        <f>IF($B263&gt;11,0,+N267*M270/12)</f>
        <v>0</v>
      </c>
      <c r="O273" s="13"/>
      <c r="P273" t="s">
        <v>80</v>
      </c>
      <c r="Q273" s="110"/>
      <c r="R273" s="77">
        <f>IF(N278&gt;0,+R267*Q270/12,IF($Q263&gt;12,0,+R267*Q270/12))</f>
        <v>0</v>
      </c>
      <c r="S273" s="77">
        <f>IF($Q263&gt;13,0,+S267*R270/12)</f>
        <v>0</v>
      </c>
      <c r="T273" s="77">
        <f>IF($Q263&gt;14,0,+T267*S270/12)</f>
        <v>0</v>
      </c>
      <c r="U273" s="77">
        <f>IF($Q263&gt;15,0,+U267*T270/12)</f>
        <v>0</v>
      </c>
      <c r="V273" s="77">
        <f>IF($Q263&gt;16,0,+V267*U270/12)</f>
        <v>0</v>
      </c>
      <c r="W273" s="77">
        <f>IF($Q263&gt;17,0,+W267*V270/12)</f>
        <v>0</v>
      </c>
      <c r="X273" s="77">
        <f>IF($Q263&gt;18,0,+X267*W270/12)</f>
        <v>0</v>
      </c>
      <c r="Y273" s="77">
        <f>IF($Q263&gt;19,0,+Y267*X270/12)</f>
        <v>0</v>
      </c>
      <c r="Z273" s="77">
        <f>IF($Q263&gt;20,0,+Z267*Y270/12)</f>
        <v>0</v>
      </c>
      <c r="AA273" s="77">
        <f>IF($Q263&gt;21,0,+AA267*Z270/12)</f>
        <v>0</v>
      </c>
      <c r="AB273" s="77">
        <f>IF($Q263&gt;22,0,+AB267*AA270/12)</f>
        <v>0</v>
      </c>
      <c r="AC273" s="77">
        <f>IF($Q263&gt;23,0,+AC267*AB270/12)</f>
        <v>0</v>
      </c>
      <c r="AD273" s="109"/>
    </row>
    <row r="274" spans="1:30" ht="18">
      <c r="A274" s="40" t="s">
        <v>81</v>
      </c>
      <c r="B274" s="40"/>
      <c r="C274" s="295">
        <f aca="true" t="shared" si="152" ref="C274:N274">+C275-C273</f>
        <v>0</v>
      </c>
      <c r="D274" s="52">
        <f t="shared" si="152"/>
        <v>0</v>
      </c>
      <c r="E274" s="52">
        <f t="shared" si="152"/>
        <v>0</v>
      </c>
      <c r="F274" s="52">
        <f t="shared" si="152"/>
        <v>0</v>
      </c>
      <c r="G274" s="52">
        <f t="shared" si="152"/>
        <v>0</v>
      </c>
      <c r="H274" s="52">
        <f t="shared" si="152"/>
        <v>0</v>
      </c>
      <c r="I274" s="52">
        <f t="shared" si="152"/>
        <v>0</v>
      </c>
      <c r="J274" s="52">
        <f t="shared" si="152"/>
        <v>0</v>
      </c>
      <c r="K274" s="52">
        <f t="shared" si="152"/>
        <v>0</v>
      </c>
      <c r="L274" s="52">
        <f t="shared" si="152"/>
        <v>0</v>
      </c>
      <c r="M274" s="52">
        <f t="shared" si="152"/>
        <v>0</v>
      </c>
      <c r="N274" s="463">
        <f t="shared" si="152"/>
        <v>0</v>
      </c>
      <c r="O274" s="13"/>
      <c r="P274" s="40" t="s">
        <v>81</v>
      </c>
      <c r="Q274" s="39"/>
      <c r="R274" s="79">
        <f aca="true" t="shared" si="153" ref="R274:AC274">+R275-R273</f>
        <v>0</v>
      </c>
      <c r="S274" s="71">
        <f t="shared" si="153"/>
        <v>0</v>
      </c>
      <c r="T274" s="71">
        <f t="shared" si="153"/>
        <v>0</v>
      </c>
      <c r="U274" s="71">
        <f t="shared" si="153"/>
        <v>0</v>
      </c>
      <c r="V274" s="71">
        <f t="shared" si="153"/>
        <v>0</v>
      </c>
      <c r="W274" s="71">
        <f t="shared" si="153"/>
        <v>0</v>
      </c>
      <c r="X274" s="71">
        <f t="shared" si="153"/>
        <v>0</v>
      </c>
      <c r="Y274" s="71">
        <f t="shared" si="153"/>
        <v>0</v>
      </c>
      <c r="Z274" s="71">
        <f t="shared" si="153"/>
        <v>0</v>
      </c>
      <c r="AA274" s="71">
        <f t="shared" si="153"/>
        <v>0</v>
      </c>
      <c r="AB274" s="71">
        <f t="shared" si="153"/>
        <v>0</v>
      </c>
      <c r="AC274" s="80">
        <f t="shared" si="153"/>
        <v>0</v>
      </c>
      <c r="AD274" s="109"/>
    </row>
    <row r="275" spans="1:30" ht="18">
      <c r="A275" t="s">
        <v>82</v>
      </c>
      <c r="B275" s="13"/>
      <c r="C275" s="53">
        <f>IF($B263&gt;0,0,-PMT(B270/12,B271,C267))</f>
        <v>0</v>
      </c>
      <c r="D275" s="54">
        <f>IF($B263&gt;1,0,-PMT(C270/12,C271,D267))</f>
        <v>0</v>
      </c>
      <c r="E275" s="54">
        <f>IF($B263&gt;2,0,-PMT(D270/12,D271,E267))</f>
        <v>0</v>
      </c>
      <c r="F275" s="54">
        <f>IF($B263&gt;3,0,-PMT(E270/12,E271,F267))</f>
        <v>0</v>
      </c>
      <c r="G275" s="54">
        <f>IF($B263&gt;4,0,-PMT(F270/12,F271,G267))</f>
        <v>0</v>
      </c>
      <c r="H275" s="54">
        <f>IF($B263&gt;5,0,-PMT(G270/12,G271,H267))</f>
        <v>0</v>
      </c>
      <c r="I275" s="54">
        <f>IF($B263&gt;6,0,-PMT(H270/12,H271,I267))</f>
        <v>0</v>
      </c>
      <c r="J275" s="54">
        <f>IF($B263&gt;7,0,-PMT(I270/12,I271,J267))</f>
        <v>0</v>
      </c>
      <c r="K275" s="54">
        <f>IF($B263&gt;8,0,-PMT(J270/12,J271,K267))</f>
        <v>0</v>
      </c>
      <c r="L275" s="54">
        <f>IF($B263&gt;9,0,-PMT(K270/12,K271,L267))</f>
        <v>0</v>
      </c>
      <c r="M275" s="54">
        <f>IF($B263&gt;10,0,-PMT(L270/12,L271,M267))</f>
        <v>0</v>
      </c>
      <c r="N275" s="55">
        <f>IF($B263&gt;11,0,-PMT(M270/12,M271,N267))</f>
        <v>0</v>
      </c>
      <c r="O275" s="13"/>
      <c r="P275" t="s">
        <v>82</v>
      </c>
      <c r="Q275" s="110"/>
      <c r="R275" s="54">
        <f>IF(N278&gt;0,-PMT(Q270/12,Q271,R267),IF($Q263&gt;12,0,-PMT(Q270/12,Q271,R267)))</f>
        <v>0</v>
      </c>
      <c r="S275" s="54">
        <f>IF($Q263&gt;13,0,-PMT(R270/12,R271,S267))</f>
        <v>0</v>
      </c>
      <c r="T275" s="54">
        <f>IF($Q263&gt;14,0,-PMT(S270/12,S271,T267))</f>
        <v>0</v>
      </c>
      <c r="U275" s="54">
        <f>IF($Q263&gt;15,0,-PMT(T270/12,T271,U267))</f>
        <v>0</v>
      </c>
      <c r="V275" s="54">
        <f>IF($Q263&gt;16,0,-PMT(U270/12,U271,V267))</f>
        <v>0</v>
      </c>
      <c r="W275" s="54">
        <f>IF($Q263&gt;17,0,-PMT(V270/12,V271,W267))</f>
        <v>0</v>
      </c>
      <c r="X275" s="54">
        <f>IF($Q263&gt;18,0,-PMT(W270/12,W271,X267))</f>
        <v>0</v>
      </c>
      <c r="Y275" s="54">
        <f>IF($Q263&gt;19,0,-PMT(X270/12,X271,Y267))</f>
        <v>0</v>
      </c>
      <c r="Z275" s="54">
        <f>IF($Q263&gt;20,0,-PMT(Y270/12,Y271,Z267))</f>
        <v>0</v>
      </c>
      <c r="AA275" s="54">
        <f>IF($Q263&gt;21,0,-PMT(Z270/12,Z271,AA267))</f>
        <v>0</v>
      </c>
      <c r="AB275" s="54">
        <f>IF($Q263&gt;22,0,-PMT(AA270/12,AA271,AB267))</f>
        <v>0</v>
      </c>
      <c r="AC275" s="54">
        <f>IF($Q263&gt;23,0,-PMT(AB270/12,AB271,AC267))</f>
        <v>0</v>
      </c>
      <c r="AD275" s="109"/>
    </row>
    <row r="276" spans="3:29" ht="18">
      <c r="C276" s="61"/>
      <c r="D276" s="61"/>
      <c r="E276" s="61"/>
      <c r="F276" s="61"/>
      <c r="G276" s="61"/>
      <c r="H276" s="61"/>
      <c r="I276" s="61"/>
      <c r="J276" s="61"/>
      <c r="K276" s="61"/>
      <c r="L276" s="61"/>
      <c r="M276" s="61"/>
      <c r="N276" s="61"/>
      <c r="R276" s="61"/>
      <c r="S276" s="61"/>
      <c r="T276" s="61"/>
      <c r="U276" s="61"/>
      <c r="V276" s="61"/>
      <c r="W276" s="61"/>
      <c r="X276" s="61"/>
      <c r="Y276" s="61"/>
      <c r="Z276" s="61"/>
      <c r="AA276" s="61"/>
      <c r="AB276" s="61"/>
      <c r="AC276" s="61"/>
    </row>
    <row r="277" spans="1:30" ht="18">
      <c r="A277" t="s">
        <v>85</v>
      </c>
      <c r="B277" s="110"/>
      <c r="C277" s="76">
        <f>+C274</f>
        <v>0</v>
      </c>
      <c r="D277" s="77">
        <f aca="true" t="shared" si="154" ref="D277:N277">+D274+C277</f>
        <v>0</v>
      </c>
      <c r="E277" s="77">
        <f t="shared" si="154"/>
        <v>0</v>
      </c>
      <c r="F277" s="77">
        <f t="shared" si="154"/>
        <v>0</v>
      </c>
      <c r="G277" s="77">
        <f t="shared" si="154"/>
        <v>0</v>
      </c>
      <c r="H277" s="77">
        <f t="shared" si="154"/>
        <v>0</v>
      </c>
      <c r="I277" s="77">
        <f t="shared" si="154"/>
        <v>0</v>
      </c>
      <c r="J277" s="77">
        <f t="shared" si="154"/>
        <v>0</v>
      </c>
      <c r="K277" s="77">
        <f t="shared" si="154"/>
        <v>0</v>
      </c>
      <c r="L277" s="77">
        <f t="shared" si="154"/>
        <v>0</v>
      </c>
      <c r="M277" s="77">
        <f t="shared" si="154"/>
        <v>0</v>
      </c>
      <c r="N277" s="78">
        <f t="shared" si="154"/>
        <v>0</v>
      </c>
      <c r="O277" s="109"/>
      <c r="P277" t="s">
        <v>85</v>
      </c>
      <c r="Q277" s="110"/>
      <c r="R277" s="53">
        <f>+R274+N277</f>
        <v>0</v>
      </c>
      <c r="S277" s="54">
        <f aca="true" t="shared" si="155" ref="S277:AC277">+S274+R277</f>
        <v>0</v>
      </c>
      <c r="T277" s="54">
        <f t="shared" si="155"/>
        <v>0</v>
      </c>
      <c r="U277" s="54">
        <f t="shared" si="155"/>
        <v>0</v>
      </c>
      <c r="V277" s="54">
        <f t="shared" si="155"/>
        <v>0</v>
      </c>
      <c r="W277" s="54">
        <f t="shared" si="155"/>
        <v>0</v>
      </c>
      <c r="X277" s="54">
        <f t="shared" si="155"/>
        <v>0</v>
      </c>
      <c r="Y277" s="54">
        <f t="shared" si="155"/>
        <v>0</v>
      </c>
      <c r="Z277" s="54">
        <f t="shared" si="155"/>
        <v>0</v>
      </c>
      <c r="AA277" s="54">
        <f t="shared" si="155"/>
        <v>0</v>
      </c>
      <c r="AB277" s="54">
        <f t="shared" si="155"/>
        <v>0</v>
      </c>
      <c r="AC277" s="55">
        <f t="shared" si="155"/>
        <v>0</v>
      </c>
      <c r="AD277" s="109"/>
    </row>
    <row r="278" spans="1:30" ht="18">
      <c r="A278" t="s">
        <v>84</v>
      </c>
      <c r="B278" s="13"/>
      <c r="C278" s="53">
        <f>+C267-C277</f>
        <v>0</v>
      </c>
      <c r="D278" s="54">
        <f aca="true" t="shared" si="156" ref="D278:N278">+D267-D277</f>
        <v>0</v>
      </c>
      <c r="E278" s="54">
        <f t="shared" si="156"/>
        <v>0</v>
      </c>
      <c r="F278" s="54">
        <f t="shared" si="156"/>
        <v>0</v>
      </c>
      <c r="G278" s="54">
        <f t="shared" si="156"/>
        <v>0</v>
      </c>
      <c r="H278" s="54">
        <f t="shared" si="156"/>
        <v>0</v>
      </c>
      <c r="I278" s="54">
        <f t="shared" si="156"/>
        <v>0</v>
      </c>
      <c r="J278" s="54">
        <f t="shared" si="156"/>
        <v>0</v>
      </c>
      <c r="K278" s="54">
        <f t="shared" si="156"/>
        <v>0</v>
      </c>
      <c r="L278" s="54">
        <f t="shared" si="156"/>
        <v>0</v>
      </c>
      <c r="M278" s="54">
        <f t="shared" si="156"/>
        <v>0</v>
      </c>
      <c r="N278" s="55">
        <f t="shared" si="156"/>
        <v>0</v>
      </c>
      <c r="O278" s="13"/>
      <c r="P278" t="s">
        <v>84</v>
      </c>
      <c r="Q278" s="110"/>
      <c r="R278" s="53">
        <f aca="true" t="shared" si="157" ref="R278:AC278">+R267-R277</f>
        <v>0</v>
      </c>
      <c r="S278" s="54">
        <f t="shared" si="157"/>
        <v>0</v>
      </c>
      <c r="T278" s="54">
        <f t="shared" si="157"/>
        <v>0</v>
      </c>
      <c r="U278" s="54">
        <f t="shared" si="157"/>
        <v>0</v>
      </c>
      <c r="V278" s="54">
        <f t="shared" si="157"/>
        <v>0</v>
      </c>
      <c r="W278" s="54">
        <f t="shared" si="157"/>
        <v>0</v>
      </c>
      <c r="X278" s="54">
        <f t="shared" si="157"/>
        <v>0</v>
      </c>
      <c r="Y278" s="54">
        <f t="shared" si="157"/>
        <v>0</v>
      </c>
      <c r="Z278" s="54">
        <f t="shared" si="157"/>
        <v>0</v>
      </c>
      <c r="AA278" s="54">
        <f t="shared" si="157"/>
        <v>0</v>
      </c>
      <c r="AB278" s="54">
        <f t="shared" si="157"/>
        <v>0</v>
      </c>
      <c r="AC278" s="55">
        <f t="shared" si="157"/>
        <v>0</v>
      </c>
      <c r="AD278" s="109"/>
    </row>
    <row r="279" spans="2:29" ht="18">
      <c r="B279" s="52"/>
      <c r="C279" s="61"/>
      <c r="D279" s="61"/>
      <c r="E279" s="61"/>
      <c r="F279" s="61"/>
      <c r="G279" s="61"/>
      <c r="H279" s="61"/>
      <c r="I279" s="61"/>
      <c r="J279" s="61"/>
      <c r="K279" s="61"/>
      <c r="L279" s="61"/>
      <c r="M279" s="61"/>
      <c r="N279" s="61"/>
      <c r="Q279" s="52"/>
      <c r="R279" s="61"/>
      <c r="S279" s="61"/>
      <c r="T279" s="61"/>
      <c r="U279" s="61"/>
      <c r="V279" s="61"/>
      <c r="W279" s="61"/>
      <c r="X279" s="61"/>
      <c r="Y279" s="61"/>
      <c r="Z279" s="61"/>
      <c r="AA279" s="61"/>
      <c r="AB279" s="61"/>
      <c r="AC279" s="61"/>
    </row>
    <row r="280" spans="1:30" ht="18">
      <c r="A280" s="24" t="str">
        <f>+A1</f>
        <v>MyCo</v>
      </c>
      <c r="B280" s="19"/>
      <c r="C280" s="19"/>
      <c r="D280" s="19"/>
      <c r="E280" s="19"/>
      <c r="F280" s="19"/>
      <c r="G280" s="19"/>
      <c r="H280" s="19"/>
      <c r="I280" s="19"/>
      <c r="J280" s="19"/>
      <c r="K280" s="19"/>
      <c r="L280" s="19"/>
      <c r="M280" s="19"/>
      <c r="N280" s="19"/>
      <c r="O280" s="64" t="str">
        <f>+O$1</f>
        <v>Draft 1.0</v>
      </c>
      <c r="P280" s="24" t="str">
        <f>+P1</f>
        <v>MyCo</v>
      </c>
      <c r="Q280" s="19"/>
      <c r="R280" s="19"/>
      <c r="S280" s="19"/>
      <c r="T280" s="19"/>
      <c r="U280" s="19"/>
      <c r="V280" s="19"/>
      <c r="W280" s="19"/>
      <c r="X280" s="19"/>
      <c r="Y280" s="19"/>
      <c r="Z280" s="19"/>
      <c r="AA280" s="19"/>
      <c r="AB280" s="19"/>
      <c r="AC280" s="19"/>
      <c r="AD280" s="64" t="str">
        <f>+AD$1</f>
        <v>Draft 1.0</v>
      </c>
    </row>
    <row r="281" spans="1:30" ht="23.25">
      <c r="A281" s="20" t="s">
        <v>126</v>
      </c>
      <c r="B281" s="19"/>
      <c r="C281" s="19"/>
      <c r="D281" s="19"/>
      <c r="E281" s="19"/>
      <c r="F281" s="19"/>
      <c r="G281" s="19"/>
      <c r="H281" s="19"/>
      <c r="I281" s="19"/>
      <c r="J281" s="19"/>
      <c r="K281" s="19"/>
      <c r="L281" s="19"/>
      <c r="M281" s="19"/>
      <c r="N281" s="25"/>
      <c r="O281" s="19"/>
      <c r="P281" s="20" t="str">
        <f>+A281</f>
        <v>DEBT FUNDING - Page 2</v>
      </c>
      <c r="Q281" s="19"/>
      <c r="R281" s="19"/>
      <c r="S281" s="19"/>
      <c r="T281" s="19"/>
      <c r="U281" s="19"/>
      <c r="V281" s="19"/>
      <c r="W281" s="19"/>
      <c r="X281" s="19"/>
      <c r="Y281" s="19"/>
      <c r="Z281" s="19"/>
      <c r="AA281" s="19"/>
      <c r="AB281" s="19"/>
      <c r="AC281" s="25"/>
      <c r="AD281" s="19"/>
    </row>
    <row r="282" spans="1:29" ht="18">
      <c r="A282" s="21">
        <f>+$A$3</f>
        <v>2022</v>
      </c>
      <c r="B282" s="18"/>
      <c r="C282" s="619">
        <f>IF(ISBLANK(Headcount!C$3),"",Headcount!C$3)</f>
      </c>
      <c r="D282" s="619">
        <f>IF(ISBLANK(Headcount!D$3),"",Headcount!D$3)</f>
      </c>
      <c r="E282" s="619">
        <f>IF(ISBLANK(Headcount!E$3),"",Headcount!E$3)</f>
      </c>
      <c r="F282" s="619">
        <f>IF(ISBLANK(Headcount!F$3),"",Headcount!F$3)</f>
      </c>
      <c r="G282" s="619">
        <f>IF(ISBLANK(Headcount!G$3),"",Headcount!G$3)</f>
      </c>
      <c r="H282" s="619">
        <f>IF(ISBLANK(Headcount!H$3),"",Headcount!H$3)</f>
      </c>
      <c r="I282" s="619">
        <f>IF(ISBLANK(Headcount!I$3),"",Headcount!I$3)</f>
      </c>
      <c r="J282" s="619">
        <f>IF(ISBLANK(Headcount!J$3),"",Headcount!J$3)</f>
      </c>
      <c r="K282" s="619">
        <f>IF(ISBLANK(Headcount!K$3),"",Headcount!K$3)</f>
      </c>
      <c r="L282" s="619">
        <f>IF(ISBLANK(Headcount!L$3),"",Headcount!L$3)</f>
      </c>
      <c r="M282" s="619">
        <f>IF(ISBLANK(Headcount!M$3),"",Headcount!M$3)</f>
      </c>
      <c r="N282" s="619">
        <f>IF(ISBLANK(Headcount!N$3),"",Headcount!N$3)</f>
      </c>
      <c r="P282" s="21">
        <f>+P$3</f>
        <v>2023</v>
      </c>
      <c r="Q282" s="18"/>
      <c r="R282" s="619">
        <f>IF(ISBLANK(Headcount!R$3),"",Headcount!R$3)</f>
      </c>
      <c r="S282" s="619">
        <f>IF(ISBLANK(Headcount!S$3),"",Headcount!S$3)</f>
      </c>
      <c r="T282" s="619">
        <f>IF(ISBLANK(Headcount!T$3),"",Headcount!T$3)</f>
      </c>
      <c r="U282" s="619">
        <f>IF(ISBLANK(Headcount!U$3),"",Headcount!U$3)</f>
      </c>
      <c r="V282" s="619">
        <f>IF(ISBLANK(Headcount!V$3),"",Headcount!V$3)</f>
      </c>
      <c r="W282" s="619">
        <f>IF(ISBLANK(Headcount!W$3),"",Headcount!W$3)</f>
      </c>
      <c r="X282" s="619">
        <f>IF(ISBLANK(Headcount!X$3),"",Headcount!X$3)</f>
      </c>
      <c r="Y282" s="619">
        <f>IF(ISBLANK(Headcount!Y$3),"",Headcount!Y$3)</f>
      </c>
      <c r="Z282" s="619">
        <f>IF(ISBLANK(Headcount!Z$3),"",Headcount!Z$3)</f>
      </c>
      <c r="AA282" s="619">
        <f>IF(ISBLANK(Headcount!AA$3),"",Headcount!AA$3)</f>
      </c>
      <c r="AB282" s="619">
        <f>IF(ISBLANK(Headcount!AB$3),"",Headcount!AB$3)</f>
      </c>
      <c r="AC282" s="619">
        <f>IF(ISBLANK(Headcount!AC$3),"",Headcount!AC$3)</f>
      </c>
    </row>
    <row r="283" spans="1:29" ht="18">
      <c r="A283" s="18"/>
      <c r="B283" s="37"/>
      <c r="C283" s="22" t="str">
        <f>IF(ISBLANK(Headcount!C$4),"",Headcount!C$4)</f>
        <v>Month</v>
      </c>
      <c r="D283" s="22" t="str">
        <f>IF(ISBLANK(Headcount!D$4),"",Headcount!D$4)</f>
        <v>Actual</v>
      </c>
      <c r="E283" s="22" t="str">
        <f>IF(ISBLANK(Headcount!E$4),"",Headcount!E$4)</f>
        <v>Actual</v>
      </c>
      <c r="F283" s="22" t="str">
        <f>IF(ISBLANK(Headcount!F$4),"",Headcount!F$4)</f>
        <v>Forecast</v>
      </c>
      <c r="G283" s="22" t="str">
        <f>IF(ISBLANK(Headcount!G$4),"",Headcount!G$4)</f>
        <v>Forecast</v>
      </c>
      <c r="H283" s="22" t="str">
        <f>IF(ISBLANK(Headcount!H$4),"",Headcount!H$4)</f>
        <v>Forecast</v>
      </c>
      <c r="I283" s="22" t="str">
        <f>IF(ISBLANK(Headcount!I$4),"",Headcount!I$4)</f>
        <v>Forecast</v>
      </c>
      <c r="J283" s="22" t="str">
        <f>IF(ISBLANK(Headcount!J$4),"",Headcount!J$4)</f>
        <v>Forecast</v>
      </c>
      <c r="K283" s="22" t="str">
        <f>IF(ISBLANK(Headcount!K$4),"",Headcount!K$4)</f>
        <v>Forecast</v>
      </c>
      <c r="L283" s="22" t="str">
        <f>IF(ISBLANK(Headcount!L$4),"",Headcount!L$4)</f>
        <v>Forecast</v>
      </c>
      <c r="M283" s="22" t="str">
        <f>IF(ISBLANK(Headcount!M$4),"",Headcount!M$4)</f>
        <v>Forecast</v>
      </c>
      <c r="N283" s="22" t="str">
        <f>IF(ISBLANK(Headcount!N$4),"",Headcount!N$4)</f>
        <v>Forecast</v>
      </c>
      <c r="P283" s="18"/>
      <c r="Q283" s="37"/>
      <c r="R283" s="22" t="str">
        <f>IF(ISBLANK(Headcount!R$4),"",Headcount!R$4)</f>
        <v>Forecast</v>
      </c>
      <c r="S283" s="22" t="str">
        <f>IF(ISBLANK(Headcount!S$4),"",Headcount!S$4)</f>
        <v>Forecast</v>
      </c>
      <c r="T283" s="22" t="str">
        <f>IF(ISBLANK(Headcount!T$4),"",Headcount!T$4)</f>
        <v>Forecast</v>
      </c>
      <c r="U283" s="22" t="str">
        <f>IF(ISBLANK(Headcount!U$4),"",Headcount!U$4)</f>
        <v>Forecast</v>
      </c>
      <c r="V283" s="22" t="str">
        <f>IF(ISBLANK(Headcount!V$4),"",Headcount!V$4)</f>
        <v>Forecast</v>
      </c>
      <c r="W283" s="22" t="str">
        <f>IF(ISBLANK(Headcount!W$4),"",Headcount!W$4)</f>
        <v>Forecast</v>
      </c>
      <c r="X283" s="22" t="str">
        <f>IF(ISBLANK(Headcount!X$4),"",Headcount!X$4)</f>
        <v>Forecast</v>
      </c>
      <c r="Y283" s="22" t="str">
        <f>IF(ISBLANK(Headcount!Y$4),"",Headcount!Y$4)</f>
        <v>Forecast</v>
      </c>
      <c r="Z283" s="22" t="str">
        <f>IF(ISBLANK(Headcount!Z$4),"",Headcount!Z$4)</f>
        <v>Forecast</v>
      </c>
      <c r="AA283" s="22" t="str">
        <f>IF(ISBLANK(Headcount!AA$4),"",Headcount!AA$4)</f>
        <v>Forecast</v>
      </c>
      <c r="AB283" s="22" t="str">
        <f>IF(ISBLANK(Headcount!AB$4),"",Headcount!AB$4)</f>
        <v>Forecast</v>
      </c>
      <c r="AC283" s="22" t="str">
        <f>IF(ISBLANK(Headcount!AC$4),"",Headcount!AC$4)</f>
        <v>Forecast</v>
      </c>
    </row>
    <row r="284" spans="1:30" ht="18.75" thickBot="1">
      <c r="A284" s="26"/>
      <c r="B284" s="38"/>
      <c r="C284" s="157" t="str">
        <f>+Headcount!C$5</f>
        <v>Jan</v>
      </c>
      <c r="D284" s="157" t="str">
        <f>+Headcount!D$5</f>
        <v>Feb</v>
      </c>
      <c r="E284" s="157" t="str">
        <f>+Headcount!E$5</f>
        <v>Mar</v>
      </c>
      <c r="F284" s="157" t="str">
        <f>+Headcount!F$5</f>
        <v>Apr</v>
      </c>
      <c r="G284" s="157" t="str">
        <f>+Headcount!G$5</f>
        <v>May</v>
      </c>
      <c r="H284" s="157" t="str">
        <f>+Headcount!H$5</f>
        <v>Jun</v>
      </c>
      <c r="I284" s="157" t="str">
        <f>+Headcount!I$5</f>
        <v>Jul</v>
      </c>
      <c r="J284" s="157" t="str">
        <f>+Headcount!J$5</f>
        <v>Aug</v>
      </c>
      <c r="K284" s="157" t="str">
        <f>+Headcount!K$5</f>
        <v>Sep</v>
      </c>
      <c r="L284" s="157" t="str">
        <f>+Headcount!L$5</f>
        <v>Oct</v>
      </c>
      <c r="M284" s="157" t="str">
        <f>+Headcount!M$5</f>
        <v>Nov</v>
      </c>
      <c r="N284" s="157" t="str">
        <f>+Headcount!N$5</f>
        <v>Dec</v>
      </c>
      <c r="O284" s="36" t="s">
        <v>1</v>
      </c>
      <c r="P284" s="26"/>
      <c r="Q284" s="38"/>
      <c r="R284" s="157" t="str">
        <f>+Headcount!R$5</f>
        <v>Jan</v>
      </c>
      <c r="S284" s="157" t="str">
        <f>+Headcount!S$5</f>
        <v>Feb</v>
      </c>
      <c r="T284" s="157" t="str">
        <f>+Headcount!T$5</f>
        <v>Mar</v>
      </c>
      <c r="U284" s="157" t="str">
        <f>+Headcount!U$5</f>
        <v>Apr</v>
      </c>
      <c r="V284" s="157" t="str">
        <f>+Headcount!V$5</f>
        <v>May</v>
      </c>
      <c r="W284" s="157" t="str">
        <f>+Headcount!W$5</f>
        <v>Jun</v>
      </c>
      <c r="X284" s="157" t="str">
        <f>+Headcount!X$5</f>
        <v>Jul</v>
      </c>
      <c r="Y284" s="157" t="str">
        <f>+Headcount!Y$5</f>
        <v>Aug</v>
      </c>
      <c r="Z284" s="157" t="str">
        <f>+Headcount!Z$5</f>
        <v>Sep</v>
      </c>
      <c r="AA284" s="157" t="str">
        <f>+Headcount!AA$5</f>
        <v>Oct</v>
      </c>
      <c r="AB284" s="157" t="str">
        <f>+Headcount!AB$5</f>
        <v>Nov</v>
      </c>
      <c r="AC284" s="157" t="str">
        <f>+Headcount!AC$5</f>
        <v>Dec</v>
      </c>
      <c r="AD284" s="36" t="s">
        <v>1</v>
      </c>
    </row>
    <row r="285" spans="1:29" ht="18">
      <c r="A285" s="18"/>
      <c r="B285" s="13"/>
      <c r="C285" s="31"/>
      <c r="D285" s="31"/>
      <c r="E285" s="31"/>
      <c r="F285" s="31"/>
      <c r="G285" s="31"/>
      <c r="H285" s="31"/>
      <c r="I285" s="31"/>
      <c r="J285" s="31"/>
      <c r="K285" s="31"/>
      <c r="L285" s="31"/>
      <c r="M285" s="31"/>
      <c r="N285" s="31"/>
      <c r="P285" s="18"/>
      <c r="Q285" s="13"/>
      <c r="R285" s="31"/>
      <c r="S285" s="31"/>
      <c r="T285" s="31"/>
      <c r="U285" s="31"/>
      <c r="V285" s="31"/>
      <c r="W285" s="31"/>
      <c r="X285" s="31"/>
      <c r="Y285" s="31"/>
      <c r="Z285" s="31"/>
      <c r="AA285" s="31"/>
      <c r="AB285" s="31"/>
      <c r="AC285" s="31"/>
    </row>
    <row r="286" spans="2:29" ht="18">
      <c r="B286" s="94"/>
      <c r="C286" s="61"/>
      <c r="D286" s="61"/>
      <c r="E286" s="61"/>
      <c r="F286" s="61"/>
      <c r="G286" s="61"/>
      <c r="H286" s="61"/>
      <c r="I286" s="61"/>
      <c r="J286" s="61"/>
      <c r="K286" s="61"/>
      <c r="L286" s="61"/>
      <c r="M286" s="61"/>
      <c r="N286" s="61"/>
      <c r="Q286" s="94"/>
      <c r="R286" s="61"/>
      <c r="S286" s="61"/>
      <c r="T286" s="61"/>
      <c r="U286" s="61"/>
      <c r="V286" s="61"/>
      <c r="W286" s="61"/>
      <c r="X286" s="61"/>
      <c r="Y286" s="61"/>
      <c r="Z286" s="61"/>
      <c r="AA286" s="61"/>
      <c r="AB286" s="61"/>
      <c r="AC286" s="61"/>
    </row>
    <row r="287" spans="1:29" ht="23.25">
      <c r="A287" s="85" t="s">
        <v>445</v>
      </c>
      <c r="B287" s="101"/>
      <c r="C287" s="97"/>
      <c r="D287" s="97"/>
      <c r="E287" s="97"/>
      <c r="F287" s="97"/>
      <c r="G287" s="97"/>
      <c r="H287" s="97"/>
      <c r="I287" s="97"/>
      <c r="J287" s="97"/>
      <c r="K287" s="97"/>
      <c r="L287" s="97"/>
      <c r="M287" s="97"/>
      <c r="N287" s="97"/>
      <c r="P287" s="85" t="s">
        <v>445</v>
      </c>
      <c r="Q287" s="101"/>
      <c r="R287" s="97"/>
      <c r="S287" s="97"/>
      <c r="T287" s="97"/>
      <c r="U287" s="97"/>
      <c r="V287" s="97"/>
      <c r="W287" s="97"/>
      <c r="X287" s="97"/>
      <c r="Y287" s="97"/>
      <c r="Z287" s="97"/>
      <c r="AA287" s="97"/>
      <c r="AB287" s="97"/>
      <c r="AC287" s="97"/>
    </row>
    <row r="288" spans="1:29" ht="18.75" thickBot="1">
      <c r="A288" s="97"/>
      <c r="B288" s="97"/>
      <c r="C288" s="97"/>
      <c r="D288" s="97"/>
      <c r="E288" s="97"/>
      <c r="F288" s="97"/>
      <c r="G288" s="97"/>
      <c r="H288" s="97"/>
      <c r="I288" s="97"/>
      <c r="J288" s="97"/>
      <c r="K288" s="97"/>
      <c r="L288" s="97"/>
      <c r="M288" s="97"/>
      <c r="N288" s="97"/>
      <c r="P288" s="97"/>
      <c r="Q288" s="97"/>
      <c r="R288" s="97"/>
      <c r="S288" s="97"/>
      <c r="T288" s="97"/>
      <c r="U288" s="97"/>
      <c r="V288" s="97"/>
      <c r="W288" s="97"/>
      <c r="X288" s="97"/>
      <c r="Y288" s="97"/>
      <c r="Z288" s="97"/>
      <c r="AA288" s="97"/>
      <c r="AB288" s="97"/>
      <c r="AC288" s="97"/>
    </row>
    <row r="289" spans="1:29" ht="18.75" thickBot="1">
      <c r="A289" t="s">
        <v>118</v>
      </c>
      <c r="B289" s="663">
        <v>0</v>
      </c>
      <c r="C289" s="61"/>
      <c r="D289" s="61"/>
      <c r="E289" s="61"/>
      <c r="F289" s="61"/>
      <c r="G289" s="61"/>
      <c r="H289" s="61"/>
      <c r="I289" s="61"/>
      <c r="J289" s="61"/>
      <c r="K289" s="61"/>
      <c r="L289" s="61"/>
      <c r="M289" s="61"/>
      <c r="N289" s="61"/>
      <c r="P289" t="s">
        <v>436</v>
      </c>
      <c r="Q289" s="189">
        <f>IF(B289&gt;0,13,0)</f>
        <v>0</v>
      </c>
      <c r="R289" s="61"/>
      <c r="S289" s="61"/>
      <c r="T289" s="61"/>
      <c r="U289" s="61"/>
      <c r="V289" s="61"/>
      <c r="W289" s="61"/>
      <c r="X289" s="61"/>
      <c r="Y289" s="61"/>
      <c r="Z289" s="61"/>
      <c r="AA289" s="61"/>
      <c r="AB289" s="61"/>
      <c r="AC289" s="61"/>
    </row>
    <row r="290" spans="2:29" ht="18">
      <c r="B290" s="61"/>
      <c r="C290" s="61"/>
      <c r="D290" s="61"/>
      <c r="E290" s="61"/>
      <c r="F290" s="61"/>
      <c r="G290" s="61"/>
      <c r="H290" s="61"/>
      <c r="I290" s="61"/>
      <c r="J290" s="61"/>
      <c r="K290" s="61"/>
      <c r="L290" s="61"/>
      <c r="M290" s="61"/>
      <c r="N290" s="61"/>
      <c r="Q290" s="61"/>
      <c r="R290" s="61"/>
      <c r="S290" s="61"/>
      <c r="T290" s="61"/>
      <c r="U290" s="61"/>
      <c r="V290" s="61"/>
      <c r="W290" s="61"/>
      <c r="X290" s="61"/>
      <c r="Y290" s="61"/>
      <c r="Z290" s="61"/>
      <c r="AA290" s="61"/>
      <c r="AB290" s="61"/>
      <c r="AC290" s="61"/>
    </row>
    <row r="291" spans="1:29" ht="18">
      <c r="A291" t="s">
        <v>89</v>
      </c>
      <c r="B291" s="662">
        <v>0</v>
      </c>
      <c r="C291" s="98">
        <f>IF(($B289=1),B291,0)</f>
        <v>0</v>
      </c>
      <c r="D291" s="99">
        <f>IF(C291&gt;1,C291,IF(($B289=2),B291,0))</f>
        <v>0</v>
      </c>
      <c r="E291" s="99">
        <f>IF(D291&gt;1,D291,IF(($B289=3),B291,0))</f>
        <v>0</v>
      </c>
      <c r="F291" s="99">
        <f>IF(E291&gt;1,E291,IF(($B289=4),B291,0))</f>
        <v>0</v>
      </c>
      <c r="G291" s="99">
        <f>IF(F291&gt;1,F291,IF(($B289=5),B291,0))</f>
        <v>0</v>
      </c>
      <c r="H291" s="99">
        <f>IF(G291&gt;1,G291,IF(($B289=6),B291,0))</f>
        <v>0</v>
      </c>
      <c r="I291" s="99">
        <f>IF(H291&gt;1,H291,IF(($B289=7),B291,0))</f>
        <v>0</v>
      </c>
      <c r="J291" s="99">
        <f>IF(I291&gt;1,I291,IF(($B289=8),B291,0))</f>
        <v>0</v>
      </c>
      <c r="K291" s="99">
        <f>IF(J291&gt;1,J291,IF(($B289=9),B291,0))</f>
        <v>0</v>
      </c>
      <c r="L291" s="99">
        <f>IF(K291&gt;1,K291,IF(($B289=10),B291,0))</f>
        <v>0</v>
      </c>
      <c r="M291" s="99">
        <f>IF(L291&gt;1,L291,IF(($B289=11),B291,0))</f>
        <v>0</v>
      </c>
      <c r="N291" s="100">
        <f>IF(M291&gt;1,M291,IF(($B289=12),B291,0))</f>
        <v>0</v>
      </c>
      <c r="P291" t="s">
        <v>89</v>
      </c>
      <c r="Q291" s="248">
        <f>+B291</f>
        <v>0</v>
      </c>
      <c r="R291" s="98">
        <f>IF(($Q289=13),Q291,0)</f>
        <v>0</v>
      </c>
      <c r="S291" s="99">
        <f>IF(R291&gt;1,R291,IF(($Q289=14),Q291,0))</f>
        <v>0</v>
      </c>
      <c r="T291" s="99">
        <f>IF(S291&gt;1,S291,IF(($Q289=15),Q291,0))</f>
        <v>0</v>
      </c>
      <c r="U291" s="99">
        <f>IF(T291&gt;1,T291,IF(($Q289=16),Q291,0))</f>
        <v>0</v>
      </c>
      <c r="V291" s="99">
        <f>IF(U291&gt;1,U291,IF(($Q289=17),Q291,0))</f>
        <v>0</v>
      </c>
      <c r="W291" s="99">
        <f>IF(V291&gt;1,V291,IF(($Q289=18),Q291,0))</f>
        <v>0</v>
      </c>
      <c r="X291" s="99">
        <f>IF(W291&gt;1,W291,IF(($Q289=19),Q291,0))</f>
        <v>0</v>
      </c>
      <c r="Y291" s="99">
        <f>IF(X291&gt;1,X291,IF(($Q289=20),Q291,0))</f>
        <v>0</v>
      </c>
      <c r="Z291" s="99">
        <f>IF(Y291&gt;1,Y291,IF(($Q289=21),Q291,0))</f>
        <v>0</v>
      </c>
      <c r="AA291" s="99">
        <f>IF(Z291&gt;1,Z291,IF(($Q289=22),Q291,0))</f>
        <v>0</v>
      </c>
      <c r="AB291" s="99">
        <f>IF(AA291&gt;1,AA291,IF(($Q289=23),Q291,0))</f>
        <v>0</v>
      </c>
      <c r="AC291" s="100">
        <f>IF(AB291&gt;1,AB291,IF(($Q289=24),Q291,0))</f>
        <v>0</v>
      </c>
    </row>
    <row r="292" spans="1:29" ht="18">
      <c r="A292" t="s">
        <v>55</v>
      </c>
      <c r="B292" s="149">
        <v>0.07</v>
      </c>
      <c r="C292" s="81">
        <f aca="true" t="shared" si="158" ref="C292:N294">+B292</f>
        <v>0.07</v>
      </c>
      <c r="D292" s="81">
        <f t="shared" si="158"/>
        <v>0.07</v>
      </c>
      <c r="E292" s="81">
        <f t="shared" si="158"/>
        <v>0.07</v>
      </c>
      <c r="F292" s="81">
        <f t="shared" si="158"/>
        <v>0.07</v>
      </c>
      <c r="G292" s="81">
        <f t="shared" si="158"/>
        <v>0.07</v>
      </c>
      <c r="H292" s="81">
        <f t="shared" si="158"/>
        <v>0.07</v>
      </c>
      <c r="I292" s="81">
        <f t="shared" si="158"/>
        <v>0.07</v>
      </c>
      <c r="J292" s="81">
        <f t="shared" si="158"/>
        <v>0.07</v>
      </c>
      <c r="K292" s="81">
        <f t="shared" si="158"/>
        <v>0.07</v>
      </c>
      <c r="L292" s="81">
        <f t="shared" si="158"/>
        <v>0.07</v>
      </c>
      <c r="M292" s="81">
        <f t="shared" si="158"/>
        <v>0.07</v>
      </c>
      <c r="N292" s="81">
        <f t="shared" si="158"/>
        <v>0.07</v>
      </c>
      <c r="P292" t="s">
        <v>55</v>
      </c>
      <c r="Q292" s="149">
        <v>0.08</v>
      </c>
      <c r="R292" s="81">
        <f aca="true" t="shared" si="159" ref="R292:AC292">+Q292</f>
        <v>0.08</v>
      </c>
      <c r="S292" s="81">
        <f t="shared" si="159"/>
        <v>0.08</v>
      </c>
      <c r="T292" s="81">
        <f t="shared" si="159"/>
        <v>0.08</v>
      </c>
      <c r="U292" s="81">
        <f t="shared" si="159"/>
        <v>0.08</v>
      </c>
      <c r="V292" s="81">
        <f t="shared" si="159"/>
        <v>0.08</v>
      </c>
      <c r="W292" s="81">
        <f t="shared" si="159"/>
        <v>0.08</v>
      </c>
      <c r="X292" s="81">
        <f t="shared" si="159"/>
        <v>0.08</v>
      </c>
      <c r="Y292" s="81">
        <f t="shared" si="159"/>
        <v>0.08</v>
      </c>
      <c r="Z292" s="81">
        <f t="shared" si="159"/>
        <v>0.08</v>
      </c>
      <c r="AA292" s="81">
        <f t="shared" si="159"/>
        <v>0.08</v>
      </c>
      <c r="AB292" s="81">
        <f t="shared" si="159"/>
        <v>0.08</v>
      </c>
      <c r="AC292" s="81">
        <f t="shared" si="159"/>
        <v>0.08</v>
      </c>
    </row>
    <row r="293" spans="1:29" ht="18">
      <c r="A293" t="s">
        <v>56</v>
      </c>
      <c r="B293" s="150">
        <v>36</v>
      </c>
      <c r="C293" s="61">
        <f t="shared" si="158"/>
        <v>36</v>
      </c>
      <c r="D293" s="61">
        <f t="shared" si="158"/>
        <v>36</v>
      </c>
      <c r="E293" s="61">
        <f t="shared" si="158"/>
        <v>36</v>
      </c>
      <c r="F293" s="61">
        <f t="shared" si="158"/>
        <v>36</v>
      </c>
      <c r="G293" s="61">
        <f t="shared" si="158"/>
        <v>36</v>
      </c>
      <c r="H293" s="61">
        <f t="shared" si="158"/>
        <v>36</v>
      </c>
      <c r="I293" s="61">
        <f t="shared" si="158"/>
        <v>36</v>
      </c>
      <c r="J293" s="61">
        <f t="shared" si="158"/>
        <v>36</v>
      </c>
      <c r="K293" s="61">
        <f t="shared" si="158"/>
        <v>36</v>
      </c>
      <c r="L293" s="61">
        <f t="shared" si="158"/>
        <v>36</v>
      </c>
      <c r="M293" s="61">
        <f t="shared" si="158"/>
        <v>36</v>
      </c>
      <c r="N293" s="61">
        <f t="shared" si="158"/>
        <v>36</v>
      </c>
      <c r="P293" t="s">
        <v>56</v>
      </c>
      <c r="Q293" s="150">
        <v>36</v>
      </c>
      <c r="R293" s="61">
        <f aca="true" t="shared" si="160" ref="R293:AC294">+Q293</f>
        <v>36</v>
      </c>
      <c r="S293" s="61">
        <f t="shared" si="160"/>
        <v>36</v>
      </c>
      <c r="T293" s="61">
        <f t="shared" si="160"/>
        <v>36</v>
      </c>
      <c r="U293" s="61">
        <f t="shared" si="160"/>
        <v>36</v>
      </c>
      <c r="V293" s="61">
        <f t="shared" si="160"/>
        <v>36</v>
      </c>
      <c r="W293" s="61">
        <f t="shared" si="160"/>
        <v>36</v>
      </c>
      <c r="X293" s="61">
        <f t="shared" si="160"/>
        <v>36</v>
      </c>
      <c r="Y293" s="61">
        <f t="shared" si="160"/>
        <v>36</v>
      </c>
      <c r="Z293" s="61">
        <f t="shared" si="160"/>
        <v>36</v>
      </c>
      <c r="AA293" s="61">
        <f t="shared" si="160"/>
        <v>36</v>
      </c>
      <c r="AB293" s="61">
        <f t="shared" si="160"/>
        <v>36</v>
      </c>
      <c r="AC293" s="61">
        <f t="shared" si="160"/>
        <v>36</v>
      </c>
    </row>
    <row r="294" spans="1:29" ht="18">
      <c r="A294" t="s">
        <v>90</v>
      </c>
      <c r="B294" s="151" t="s">
        <v>91</v>
      </c>
      <c r="C294" s="96" t="str">
        <f t="shared" si="158"/>
        <v>N</v>
      </c>
      <c r="D294" s="96" t="str">
        <f t="shared" si="158"/>
        <v>N</v>
      </c>
      <c r="E294" s="96" t="str">
        <f t="shared" si="158"/>
        <v>N</v>
      </c>
      <c r="F294" s="96" t="str">
        <f t="shared" si="158"/>
        <v>N</v>
      </c>
      <c r="G294" s="96" t="str">
        <f t="shared" si="158"/>
        <v>N</v>
      </c>
      <c r="H294" s="96" t="str">
        <f t="shared" si="158"/>
        <v>N</v>
      </c>
      <c r="I294" s="96" t="str">
        <f t="shared" si="158"/>
        <v>N</v>
      </c>
      <c r="J294" s="96" t="str">
        <f t="shared" si="158"/>
        <v>N</v>
      </c>
      <c r="K294" s="96" t="str">
        <f t="shared" si="158"/>
        <v>N</v>
      </c>
      <c r="L294" s="96" t="str">
        <f t="shared" si="158"/>
        <v>N</v>
      </c>
      <c r="M294" s="96" t="str">
        <f t="shared" si="158"/>
        <v>N</v>
      </c>
      <c r="N294" s="96" t="str">
        <f t="shared" si="158"/>
        <v>N</v>
      </c>
      <c r="P294" t="s">
        <v>90</v>
      </c>
      <c r="Q294" s="151" t="s">
        <v>91</v>
      </c>
      <c r="R294" s="96" t="str">
        <f t="shared" si="160"/>
        <v>N</v>
      </c>
      <c r="S294" s="96" t="str">
        <f t="shared" si="160"/>
        <v>N</v>
      </c>
      <c r="T294" s="96" t="str">
        <f t="shared" si="160"/>
        <v>N</v>
      </c>
      <c r="U294" s="96" t="str">
        <f t="shared" si="160"/>
        <v>N</v>
      </c>
      <c r="V294" s="96" t="str">
        <f t="shared" si="160"/>
        <v>N</v>
      </c>
      <c r="W294" s="96" t="str">
        <f t="shared" si="160"/>
        <v>N</v>
      </c>
      <c r="X294" s="96" t="str">
        <f t="shared" si="160"/>
        <v>N</v>
      </c>
      <c r="Y294" s="96" t="str">
        <f t="shared" si="160"/>
        <v>N</v>
      </c>
      <c r="Z294" s="96" t="str">
        <f t="shared" si="160"/>
        <v>N</v>
      </c>
      <c r="AA294" s="96" t="str">
        <f t="shared" si="160"/>
        <v>N</v>
      </c>
      <c r="AB294" s="96" t="str">
        <f t="shared" si="160"/>
        <v>N</v>
      </c>
      <c r="AC294" s="96" t="str">
        <f t="shared" si="160"/>
        <v>N</v>
      </c>
    </row>
    <row r="295" spans="1:29" ht="18">
      <c r="A295" t="s">
        <v>93</v>
      </c>
      <c r="B295" s="52"/>
      <c r="C295" s="52">
        <f>IF(C294="Y",0,IF(C291&gt;1,C297-C296,0))</f>
        <v>0</v>
      </c>
      <c r="D295" s="52">
        <f>IF(D294="Y",0,IF(D291&gt;1,D297-D296,0))</f>
        <v>0</v>
      </c>
      <c r="E295" s="52">
        <f aca="true" t="shared" si="161" ref="E295:N295">IF(E294="Y",0,IF(E291&gt;1,E297-E296,0))</f>
        <v>0</v>
      </c>
      <c r="F295" s="52">
        <f t="shared" si="161"/>
        <v>0</v>
      </c>
      <c r="G295" s="52">
        <f t="shared" si="161"/>
        <v>0</v>
      </c>
      <c r="H295" s="52">
        <f t="shared" si="161"/>
        <v>0</v>
      </c>
      <c r="I295" s="52">
        <f t="shared" si="161"/>
        <v>0</v>
      </c>
      <c r="J295" s="52">
        <f t="shared" si="161"/>
        <v>0</v>
      </c>
      <c r="K295" s="52">
        <f t="shared" si="161"/>
        <v>0</v>
      </c>
      <c r="L295" s="52">
        <f t="shared" si="161"/>
        <v>0</v>
      </c>
      <c r="M295" s="52">
        <f t="shared" si="161"/>
        <v>0</v>
      </c>
      <c r="N295" s="52">
        <f t="shared" si="161"/>
        <v>0</v>
      </c>
      <c r="P295" t="s">
        <v>93</v>
      </c>
      <c r="Q295" s="52"/>
      <c r="R295" s="52">
        <f aca="true" t="shared" si="162" ref="R295:AC295">IF(R294="Y",0,IF(R291&gt;1,R297-R296,0))</f>
        <v>0</v>
      </c>
      <c r="S295" s="52">
        <f t="shared" si="162"/>
        <v>0</v>
      </c>
      <c r="T295" s="52">
        <f t="shared" si="162"/>
        <v>0</v>
      </c>
      <c r="U295" s="52">
        <f t="shared" si="162"/>
        <v>0</v>
      </c>
      <c r="V295" s="52">
        <f t="shared" si="162"/>
        <v>0</v>
      </c>
      <c r="W295" s="52">
        <f t="shared" si="162"/>
        <v>0</v>
      </c>
      <c r="X295" s="52">
        <f t="shared" si="162"/>
        <v>0</v>
      </c>
      <c r="Y295" s="52">
        <f t="shared" si="162"/>
        <v>0</v>
      </c>
      <c r="Z295" s="52">
        <f t="shared" si="162"/>
        <v>0</v>
      </c>
      <c r="AA295" s="52">
        <f t="shared" si="162"/>
        <v>0</v>
      </c>
      <c r="AB295" s="52">
        <f t="shared" si="162"/>
        <v>0</v>
      </c>
      <c r="AC295" s="52">
        <f t="shared" si="162"/>
        <v>0</v>
      </c>
    </row>
    <row r="296" spans="1:29" ht="18">
      <c r="A296" s="40" t="s">
        <v>94</v>
      </c>
      <c r="B296" s="71"/>
      <c r="C296" s="71">
        <f>+(C292/12)*B301</f>
        <v>0</v>
      </c>
      <c r="D296" s="71">
        <f>+(D292/12)*C301</f>
        <v>0</v>
      </c>
      <c r="E296" s="71">
        <f aca="true" t="shared" si="163" ref="E296:N296">+(E292/12)*D301</f>
        <v>0</v>
      </c>
      <c r="F296" s="71">
        <f t="shared" si="163"/>
        <v>0</v>
      </c>
      <c r="G296" s="71">
        <f t="shared" si="163"/>
        <v>0</v>
      </c>
      <c r="H296" s="71">
        <f t="shared" si="163"/>
        <v>0</v>
      </c>
      <c r="I296" s="71">
        <f t="shared" si="163"/>
        <v>0</v>
      </c>
      <c r="J296" s="71">
        <f t="shared" si="163"/>
        <v>0</v>
      </c>
      <c r="K296" s="71">
        <f t="shared" si="163"/>
        <v>0</v>
      </c>
      <c r="L296" s="71">
        <f t="shared" si="163"/>
        <v>0</v>
      </c>
      <c r="M296" s="71">
        <f t="shared" si="163"/>
        <v>0</v>
      </c>
      <c r="N296" s="71">
        <f t="shared" si="163"/>
        <v>0</v>
      </c>
      <c r="P296" s="40" t="s">
        <v>94</v>
      </c>
      <c r="Q296" s="71"/>
      <c r="R296" s="71">
        <f>+(R292/12)*N301</f>
        <v>0</v>
      </c>
      <c r="S296" s="71">
        <f>+(S292/12)*R301</f>
        <v>0</v>
      </c>
      <c r="T296" s="71">
        <f aca="true" t="shared" si="164" ref="T296:AC296">+(T292/12)*S301</f>
        <v>0</v>
      </c>
      <c r="U296" s="71">
        <f t="shared" si="164"/>
        <v>0</v>
      </c>
      <c r="V296" s="71">
        <f t="shared" si="164"/>
        <v>0</v>
      </c>
      <c r="W296" s="71">
        <f t="shared" si="164"/>
        <v>0</v>
      </c>
      <c r="X296" s="71">
        <f t="shared" si="164"/>
        <v>0</v>
      </c>
      <c r="Y296" s="71">
        <f t="shared" si="164"/>
        <v>0</v>
      </c>
      <c r="Z296" s="71">
        <f t="shared" si="164"/>
        <v>0</v>
      </c>
      <c r="AA296" s="71">
        <f t="shared" si="164"/>
        <v>0</v>
      </c>
      <c r="AB296" s="71">
        <f t="shared" si="164"/>
        <v>0</v>
      </c>
      <c r="AC296" s="71">
        <f t="shared" si="164"/>
        <v>0</v>
      </c>
    </row>
    <row r="297" spans="1:29" ht="18">
      <c r="A297" t="s">
        <v>92</v>
      </c>
      <c r="B297" s="52"/>
      <c r="C297" s="52">
        <f>IF(C294="Y",C296,IF(C291&gt;1,-(PMT(C292/12,C293,C291)),0))</f>
        <v>0</v>
      </c>
      <c r="D297" s="52">
        <f>IF(D294="Y",D296,IF(D291&gt;1,-(PMT(D292/12,D293,D291)),0))</f>
        <v>0</v>
      </c>
      <c r="E297" s="52">
        <f aca="true" t="shared" si="165" ref="E297:N297">IF(E294="Y",E296,IF(E291&gt;1,-(PMT(E292/12,E293,E291)),0))</f>
        <v>0</v>
      </c>
      <c r="F297" s="52">
        <f t="shared" si="165"/>
        <v>0</v>
      </c>
      <c r="G297" s="52">
        <f t="shared" si="165"/>
        <v>0</v>
      </c>
      <c r="H297" s="52">
        <f t="shared" si="165"/>
        <v>0</v>
      </c>
      <c r="I297" s="52">
        <f t="shared" si="165"/>
        <v>0</v>
      </c>
      <c r="J297" s="52">
        <f t="shared" si="165"/>
        <v>0</v>
      </c>
      <c r="K297" s="52">
        <f t="shared" si="165"/>
        <v>0</v>
      </c>
      <c r="L297" s="52">
        <f t="shared" si="165"/>
        <v>0</v>
      </c>
      <c r="M297" s="52">
        <f t="shared" si="165"/>
        <v>0</v>
      </c>
      <c r="N297" s="52">
        <f t="shared" si="165"/>
        <v>0</v>
      </c>
      <c r="P297" t="s">
        <v>92</v>
      </c>
      <c r="Q297" s="52"/>
      <c r="R297" s="52">
        <f aca="true" t="shared" si="166" ref="R297:AC297">IF(R294="Y",R296,IF(R291&gt;1,-(PMT(R292/12,R293,R291)),0))</f>
        <v>0</v>
      </c>
      <c r="S297" s="52">
        <f t="shared" si="166"/>
        <v>0</v>
      </c>
      <c r="T297" s="52">
        <f t="shared" si="166"/>
        <v>0</v>
      </c>
      <c r="U297" s="52">
        <f t="shared" si="166"/>
        <v>0</v>
      </c>
      <c r="V297" s="52">
        <f t="shared" si="166"/>
        <v>0</v>
      </c>
      <c r="W297" s="52">
        <f t="shared" si="166"/>
        <v>0</v>
      </c>
      <c r="X297" s="52">
        <f t="shared" si="166"/>
        <v>0</v>
      </c>
      <c r="Y297" s="52">
        <f t="shared" si="166"/>
        <v>0</v>
      </c>
      <c r="Z297" s="52">
        <f t="shared" si="166"/>
        <v>0</v>
      </c>
      <c r="AA297" s="52">
        <f t="shared" si="166"/>
        <v>0</v>
      </c>
      <c r="AB297" s="52">
        <f t="shared" si="166"/>
        <v>0</v>
      </c>
      <c r="AC297" s="52">
        <f t="shared" si="166"/>
        <v>0</v>
      </c>
    </row>
    <row r="298" spans="2:29" ht="18">
      <c r="B298" s="52"/>
      <c r="C298" s="52"/>
      <c r="D298" s="52"/>
      <c r="E298" s="52"/>
      <c r="F298" s="52"/>
      <c r="G298" s="52"/>
      <c r="H298" s="52"/>
      <c r="I298" s="52"/>
      <c r="J298" s="52"/>
      <c r="K298" s="52"/>
      <c r="L298" s="52"/>
      <c r="M298" s="52"/>
      <c r="N298" s="52"/>
      <c r="Q298" s="52"/>
      <c r="R298" s="52"/>
      <c r="S298" s="52"/>
      <c r="T298" s="52"/>
      <c r="U298" s="52"/>
      <c r="V298" s="52"/>
      <c r="W298" s="52"/>
      <c r="X298" s="52"/>
      <c r="Y298" s="52"/>
      <c r="Z298" s="52"/>
      <c r="AA298" s="52"/>
      <c r="AB298" s="52"/>
      <c r="AC298" s="52"/>
    </row>
    <row r="299" spans="1:29" ht="18">
      <c r="A299" s="13" t="s">
        <v>95</v>
      </c>
      <c r="B299" s="52"/>
      <c r="C299" s="52">
        <f aca="true" t="shared" si="167" ref="C299:N299">IF(B299&lt;1,C291,IF(C291=B291,B301,0))</f>
        <v>0</v>
      </c>
      <c r="D299" s="52">
        <f t="shared" si="167"/>
        <v>0</v>
      </c>
      <c r="E299" s="52">
        <f t="shared" si="167"/>
        <v>0</v>
      </c>
      <c r="F299" s="52">
        <f t="shared" si="167"/>
        <v>0</v>
      </c>
      <c r="G299" s="52">
        <f t="shared" si="167"/>
        <v>0</v>
      </c>
      <c r="H299" s="52">
        <f t="shared" si="167"/>
        <v>0</v>
      </c>
      <c r="I299" s="52">
        <f t="shared" si="167"/>
        <v>0</v>
      </c>
      <c r="J299" s="52">
        <f t="shared" si="167"/>
        <v>0</v>
      </c>
      <c r="K299" s="52">
        <f t="shared" si="167"/>
        <v>0</v>
      </c>
      <c r="L299" s="52">
        <f t="shared" si="167"/>
        <v>0</v>
      </c>
      <c r="M299" s="52">
        <f t="shared" si="167"/>
        <v>0</v>
      </c>
      <c r="N299" s="52">
        <f t="shared" si="167"/>
        <v>0</v>
      </c>
      <c r="P299" s="13" t="s">
        <v>95</v>
      </c>
      <c r="Q299" s="52"/>
      <c r="R299" s="52">
        <f>IF(N301&gt;0,N301,Q301)</f>
        <v>0</v>
      </c>
      <c r="S299" s="52">
        <f aca="true" t="shared" si="168" ref="S299:AC299">IF(R299&lt;1,S291,IF(S291=R291,R301,0))</f>
        <v>0</v>
      </c>
      <c r="T299" s="52">
        <f t="shared" si="168"/>
        <v>0</v>
      </c>
      <c r="U299" s="52">
        <f t="shared" si="168"/>
        <v>0</v>
      </c>
      <c r="V299" s="52">
        <f t="shared" si="168"/>
        <v>0</v>
      </c>
      <c r="W299" s="52">
        <f t="shared" si="168"/>
        <v>0</v>
      </c>
      <c r="X299" s="52">
        <f t="shared" si="168"/>
        <v>0</v>
      </c>
      <c r="Y299" s="52">
        <f t="shared" si="168"/>
        <v>0</v>
      </c>
      <c r="Z299" s="52">
        <f t="shared" si="168"/>
        <v>0</v>
      </c>
      <c r="AA299" s="52">
        <f t="shared" si="168"/>
        <v>0</v>
      </c>
      <c r="AB299" s="52">
        <f t="shared" si="168"/>
        <v>0</v>
      </c>
      <c r="AC299" s="52">
        <f t="shared" si="168"/>
        <v>0</v>
      </c>
    </row>
    <row r="300" spans="1:29" ht="18">
      <c r="A300" s="40" t="s">
        <v>96</v>
      </c>
      <c r="B300" s="95"/>
      <c r="C300" s="52">
        <v>0</v>
      </c>
      <c r="D300" s="52">
        <f aca="true" t="shared" si="169" ref="D300:N300">+D295</f>
        <v>0</v>
      </c>
      <c r="E300" s="52">
        <f t="shared" si="169"/>
        <v>0</v>
      </c>
      <c r="F300" s="52">
        <f t="shared" si="169"/>
        <v>0</v>
      </c>
      <c r="G300" s="52">
        <f t="shared" si="169"/>
        <v>0</v>
      </c>
      <c r="H300" s="52">
        <f t="shared" si="169"/>
        <v>0</v>
      </c>
      <c r="I300" s="52">
        <f t="shared" si="169"/>
        <v>0</v>
      </c>
      <c r="J300" s="52">
        <f t="shared" si="169"/>
        <v>0</v>
      </c>
      <c r="K300" s="52">
        <f t="shared" si="169"/>
        <v>0</v>
      </c>
      <c r="L300" s="52">
        <f t="shared" si="169"/>
        <v>0</v>
      </c>
      <c r="M300" s="52">
        <f t="shared" si="169"/>
        <v>0</v>
      </c>
      <c r="N300" s="52">
        <f t="shared" si="169"/>
        <v>0</v>
      </c>
      <c r="P300" s="40" t="s">
        <v>96</v>
      </c>
      <c r="Q300" s="95"/>
      <c r="R300" s="52">
        <f>+R295</f>
        <v>0</v>
      </c>
      <c r="S300" s="52">
        <f aca="true" t="shared" si="170" ref="S300:AC300">+S295</f>
        <v>0</v>
      </c>
      <c r="T300" s="52">
        <f t="shared" si="170"/>
        <v>0</v>
      </c>
      <c r="U300" s="52">
        <f t="shared" si="170"/>
        <v>0</v>
      </c>
      <c r="V300" s="52">
        <f t="shared" si="170"/>
        <v>0</v>
      </c>
      <c r="W300" s="52">
        <f t="shared" si="170"/>
        <v>0</v>
      </c>
      <c r="X300" s="52">
        <f t="shared" si="170"/>
        <v>0</v>
      </c>
      <c r="Y300" s="52">
        <f t="shared" si="170"/>
        <v>0</v>
      </c>
      <c r="Z300" s="52">
        <f t="shared" si="170"/>
        <v>0</v>
      </c>
      <c r="AA300" s="52">
        <f t="shared" si="170"/>
        <v>0</v>
      </c>
      <c r="AB300" s="52">
        <f t="shared" si="170"/>
        <v>0</v>
      </c>
      <c r="AC300" s="52">
        <f t="shared" si="170"/>
        <v>0</v>
      </c>
    </row>
    <row r="301" spans="1:29" ht="18">
      <c r="A301" s="13" t="s">
        <v>84</v>
      </c>
      <c r="B301" s="52"/>
      <c r="C301" s="53">
        <f>+C299-C300</f>
        <v>0</v>
      </c>
      <c r="D301" s="54">
        <f aca="true" t="shared" si="171" ref="D301:N301">IF(D291&gt;1,+D299-D300,0)</f>
        <v>0</v>
      </c>
      <c r="E301" s="54">
        <f t="shared" si="171"/>
        <v>0</v>
      </c>
      <c r="F301" s="54">
        <f t="shared" si="171"/>
        <v>0</v>
      </c>
      <c r="G301" s="54">
        <f t="shared" si="171"/>
        <v>0</v>
      </c>
      <c r="H301" s="54">
        <f t="shared" si="171"/>
        <v>0</v>
      </c>
      <c r="I301" s="54">
        <f t="shared" si="171"/>
        <v>0</v>
      </c>
      <c r="J301" s="54">
        <f t="shared" si="171"/>
        <v>0</v>
      </c>
      <c r="K301" s="54">
        <f t="shared" si="171"/>
        <v>0</v>
      </c>
      <c r="L301" s="54">
        <f t="shared" si="171"/>
        <v>0</v>
      </c>
      <c r="M301" s="54">
        <f t="shared" si="171"/>
        <v>0</v>
      </c>
      <c r="N301" s="55">
        <f t="shared" si="171"/>
        <v>0</v>
      </c>
      <c r="P301" s="13" t="s">
        <v>84</v>
      </c>
      <c r="Q301" s="52"/>
      <c r="R301" s="53">
        <f>IF(N301&gt;0,+R299-R300,R291)</f>
        <v>0</v>
      </c>
      <c r="S301" s="54">
        <f aca="true" t="shared" si="172" ref="S301:AC301">IF(S291&gt;1,+S299-S300,0)</f>
        <v>0</v>
      </c>
      <c r="T301" s="54">
        <f t="shared" si="172"/>
        <v>0</v>
      </c>
      <c r="U301" s="54">
        <f t="shared" si="172"/>
        <v>0</v>
      </c>
      <c r="V301" s="54">
        <f t="shared" si="172"/>
        <v>0</v>
      </c>
      <c r="W301" s="54">
        <f t="shared" si="172"/>
        <v>0</v>
      </c>
      <c r="X301" s="54">
        <f t="shared" si="172"/>
        <v>0</v>
      </c>
      <c r="Y301" s="54">
        <f t="shared" si="172"/>
        <v>0</v>
      </c>
      <c r="Z301" s="54">
        <f t="shared" si="172"/>
        <v>0</v>
      </c>
      <c r="AA301" s="54">
        <f t="shared" si="172"/>
        <v>0</v>
      </c>
      <c r="AB301" s="54">
        <f t="shared" si="172"/>
        <v>0</v>
      </c>
      <c r="AC301" s="55">
        <f t="shared" si="172"/>
        <v>0</v>
      </c>
    </row>
    <row r="302" spans="2:29" ht="18">
      <c r="B302" s="94"/>
      <c r="C302" s="61"/>
      <c r="D302" s="61"/>
      <c r="E302" s="61"/>
      <c r="F302" s="61"/>
      <c r="G302" s="61"/>
      <c r="H302" s="61"/>
      <c r="I302" s="61"/>
      <c r="J302" s="61"/>
      <c r="K302" s="61"/>
      <c r="L302" s="61"/>
      <c r="M302" s="61"/>
      <c r="N302" s="61"/>
      <c r="Q302" s="94"/>
      <c r="R302" s="61"/>
      <c r="S302" s="61"/>
      <c r="T302" s="61"/>
      <c r="U302" s="61"/>
      <c r="V302" s="61"/>
      <c r="W302" s="61"/>
      <c r="X302" s="61"/>
      <c r="Y302" s="61"/>
      <c r="Z302" s="61"/>
      <c r="AA302" s="61"/>
      <c r="AB302" s="61"/>
      <c r="AC302" s="61"/>
    </row>
    <row r="303" spans="1:17" ht="23.25" customHeight="1">
      <c r="A303" s="85" t="s">
        <v>71</v>
      </c>
      <c r="B303" s="105"/>
      <c r="P303" s="85" t="s">
        <v>71</v>
      </c>
      <c r="Q303" s="105"/>
    </row>
    <row r="305" spans="1:29" ht="17.25" customHeight="1">
      <c r="A305" t="s">
        <v>120</v>
      </c>
      <c r="C305" s="61">
        <v>0</v>
      </c>
      <c r="D305" s="61">
        <f>+Equipment!D18+C305</f>
        <v>0</v>
      </c>
      <c r="E305" s="61">
        <f>+Equipment!E18+D305</f>
        <v>0</v>
      </c>
      <c r="F305" s="61">
        <f>+Equipment!F18+E305</f>
        <v>0</v>
      </c>
      <c r="G305" s="61">
        <f>+Equipment!G18+F305</f>
        <v>0</v>
      </c>
      <c r="H305" s="61">
        <f>+Equipment!H18+G305</f>
        <v>0</v>
      </c>
      <c r="I305" s="61">
        <f>+Equipment!I18+H305</f>
        <v>0</v>
      </c>
      <c r="J305" s="61">
        <f>+Equipment!J18+I305</f>
        <v>0</v>
      </c>
      <c r="K305" s="61">
        <f>+Equipment!K18+J305</f>
        <v>0</v>
      </c>
      <c r="L305" s="61">
        <f>+Equipment!L18+K305</f>
        <v>0</v>
      </c>
      <c r="M305" s="61">
        <f>+Equipment!M18+L305</f>
        <v>0</v>
      </c>
      <c r="N305" s="61">
        <f>+Equipment!N18+M305</f>
        <v>0</v>
      </c>
      <c r="P305" t="s">
        <v>120</v>
      </c>
      <c r="R305" s="61">
        <f>+Equipment!R18+N305</f>
        <v>0</v>
      </c>
      <c r="S305" s="61">
        <f>+Equipment!S18+R305</f>
        <v>0</v>
      </c>
      <c r="T305" s="61">
        <f>+Equipment!T18+S305</f>
        <v>0</v>
      </c>
      <c r="U305" s="61">
        <f>+Equipment!U18+T305</f>
        <v>0</v>
      </c>
      <c r="V305" s="61">
        <f>+Equipment!V18+U305</f>
        <v>0</v>
      </c>
      <c r="W305" s="61">
        <f>+Equipment!W18+V305</f>
        <v>0</v>
      </c>
      <c r="X305" s="61">
        <f>+Equipment!X18+W305</f>
        <v>0</v>
      </c>
      <c r="Y305" s="61">
        <f>+Equipment!Y18+X305</f>
        <v>0</v>
      </c>
      <c r="Z305" s="61">
        <f>+Equipment!Z18+Y305</f>
        <v>0</v>
      </c>
      <c r="AA305" s="61">
        <f>+Equipment!AA18+Z305</f>
        <v>0</v>
      </c>
      <c r="AB305" s="61">
        <f>+Equipment!AB18+AA305</f>
        <v>0</v>
      </c>
      <c r="AC305" s="61">
        <f>+Equipment!AC18+AB305</f>
        <v>0</v>
      </c>
    </row>
    <row r="306" spans="1:29" ht="17.25" customHeight="1">
      <c r="A306" s="40" t="s">
        <v>121</v>
      </c>
      <c r="B306" s="40"/>
      <c r="C306" s="71">
        <f>+Equipment!C41</f>
        <v>0</v>
      </c>
      <c r="D306" s="71">
        <f>+Equipment!D41+C306</f>
        <v>0</v>
      </c>
      <c r="E306" s="71">
        <f>+Equipment!E41+D306</f>
        <v>0</v>
      </c>
      <c r="F306" s="71">
        <f>+Equipment!F41+E306</f>
        <v>0</v>
      </c>
      <c r="G306" s="71">
        <f>+Equipment!G41+F306</f>
        <v>0</v>
      </c>
      <c r="H306" s="71">
        <f>+Equipment!H41+G306</f>
        <v>0</v>
      </c>
      <c r="I306" s="71">
        <f>+Equipment!I41+H306</f>
        <v>0</v>
      </c>
      <c r="J306" s="71">
        <f>+Equipment!J41+I306</f>
        <v>0</v>
      </c>
      <c r="K306" s="71">
        <f>+Equipment!K41+J306</f>
        <v>0</v>
      </c>
      <c r="L306" s="71">
        <f>+Equipment!L41+K306</f>
        <v>0</v>
      </c>
      <c r="M306" s="71">
        <f>+Equipment!M41+L306</f>
        <v>0</v>
      </c>
      <c r="N306" s="71">
        <f>+Equipment!N41+M306</f>
        <v>0</v>
      </c>
      <c r="P306" s="40" t="s">
        <v>121</v>
      </c>
      <c r="Q306" s="40"/>
      <c r="R306" s="71">
        <f>N306+Equipment!R41</f>
        <v>0</v>
      </c>
      <c r="S306" s="71">
        <f>+Equipment!S41+R306</f>
        <v>0</v>
      </c>
      <c r="T306" s="71">
        <f>+Equipment!T41+S306</f>
        <v>0</v>
      </c>
      <c r="U306" s="71">
        <f>+Equipment!U41+T306</f>
        <v>0</v>
      </c>
      <c r="V306" s="71">
        <f>+Equipment!V41+U306</f>
        <v>0</v>
      </c>
      <c r="W306" s="71">
        <f>+Equipment!W41+V306</f>
        <v>0</v>
      </c>
      <c r="X306" s="71">
        <f>+Equipment!X41+W306</f>
        <v>0</v>
      </c>
      <c r="Y306" s="71">
        <f>+Equipment!Y41+X306</f>
        <v>0</v>
      </c>
      <c r="Z306" s="71">
        <f>+Equipment!Z41+Y306</f>
        <v>0</v>
      </c>
      <c r="AA306" s="71">
        <f>+Equipment!AA41+Z306</f>
        <v>0</v>
      </c>
      <c r="AB306" s="71">
        <f>+Equipment!AB41+AA306</f>
        <v>0</v>
      </c>
      <c r="AC306" s="71">
        <f>+Equipment!AC41+AB306</f>
        <v>0</v>
      </c>
    </row>
    <row r="307" spans="1:29" ht="17.25" customHeight="1">
      <c r="A307" t="s">
        <v>123</v>
      </c>
      <c r="C307" s="61">
        <f>SUM(C305:C306)</f>
        <v>0</v>
      </c>
      <c r="D307" s="61">
        <f aca="true" t="shared" si="173" ref="D307:N307">SUM(D305:D306)</f>
        <v>0</v>
      </c>
      <c r="E307" s="61">
        <f t="shared" si="173"/>
        <v>0</v>
      </c>
      <c r="F307" s="61">
        <f t="shared" si="173"/>
        <v>0</v>
      </c>
      <c r="G307" s="61">
        <f t="shared" si="173"/>
        <v>0</v>
      </c>
      <c r="H307" s="61">
        <f t="shared" si="173"/>
        <v>0</v>
      </c>
      <c r="I307" s="61">
        <f t="shared" si="173"/>
        <v>0</v>
      </c>
      <c r="J307" s="61">
        <f t="shared" si="173"/>
        <v>0</v>
      </c>
      <c r="K307" s="61">
        <f t="shared" si="173"/>
        <v>0</v>
      </c>
      <c r="L307" s="61">
        <f t="shared" si="173"/>
        <v>0</v>
      </c>
      <c r="M307" s="61">
        <f t="shared" si="173"/>
        <v>0</v>
      </c>
      <c r="N307" s="61">
        <f t="shared" si="173"/>
        <v>0</v>
      </c>
      <c r="P307" t="s">
        <v>123</v>
      </c>
      <c r="R307" s="61">
        <f aca="true" t="shared" si="174" ref="R307:AC307">SUM(R305:R306)</f>
        <v>0</v>
      </c>
      <c r="S307" s="61">
        <f t="shared" si="174"/>
        <v>0</v>
      </c>
      <c r="T307" s="61">
        <f t="shared" si="174"/>
        <v>0</v>
      </c>
      <c r="U307" s="61">
        <f t="shared" si="174"/>
        <v>0</v>
      </c>
      <c r="V307" s="61">
        <f t="shared" si="174"/>
        <v>0</v>
      </c>
      <c r="W307" s="61">
        <f t="shared" si="174"/>
        <v>0</v>
      </c>
      <c r="X307" s="61">
        <f t="shared" si="174"/>
        <v>0</v>
      </c>
      <c r="Y307" s="61">
        <f t="shared" si="174"/>
        <v>0</v>
      </c>
      <c r="Z307" s="61">
        <f t="shared" si="174"/>
        <v>0</v>
      </c>
      <c r="AA307" s="61">
        <f t="shared" si="174"/>
        <v>0</v>
      </c>
      <c r="AB307" s="61">
        <f t="shared" si="174"/>
        <v>0</v>
      </c>
      <c r="AC307" s="61">
        <f t="shared" si="174"/>
        <v>0</v>
      </c>
    </row>
    <row r="308" ht="17.25" customHeight="1"/>
    <row r="309" spans="1:29" ht="17.25" customHeight="1">
      <c r="A309" t="s">
        <v>55</v>
      </c>
      <c r="B309" s="145">
        <f>+C309</f>
        <v>0</v>
      </c>
      <c r="C309" s="145">
        <f>IF(C307=0,0,RATE(C310,C313,-C307)*12)</f>
        <v>0</v>
      </c>
      <c r="D309" s="145">
        <f aca="true" t="shared" si="175" ref="D309:N309">IF(D307=0,0,RATE(D310,D313,-D307)*12)</f>
        <v>0</v>
      </c>
      <c r="E309" s="145">
        <f t="shared" si="175"/>
        <v>0</v>
      </c>
      <c r="F309" s="145">
        <f t="shared" si="175"/>
        <v>0</v>
      </c>
      <c r="G309" s="145">
        <f t="shared" si="175"/>
        <v>0</v>
      </c>
      <c r="H309" s="145">
        <f t="shared" si="175"/>
        <v>0</v>
      </c>
      <c r="I309" s="145">
        <f t="shared" si="175"/>
        <v>0</v>
      </c>
      <c r="J309" s="145">
        <f t="shared" si="175"/>
        <v>0</v>
      </c>
      <c r="K309" s="145">
        <f t="shared" si="175"/>
        <v>0</v>
      </c>
      <c r="L309" s="145">
        <f t="shared" si="175"/>
        <v>0</v>
      </c>
      <c r="M309" s="145">
        <f t="shared" si="175"/>
        <v>0</v>
      </c>
      <c r="N309" s="145">
        <f t="shared" si="175"/>
        <v>0</v>
      </c>
      <c r="P309" t="s">
        <v>55</v>
      </c>
      <c r="Q309" s="145">
        <f>+R309</f>
        <v>0</v>
      </c>
      <c r="R309" s="145">
        <f>IF(R307=0,0,RATE(R310,R313,-R307)*12)</f>
        <v>0</v>
      </c>
      <c r="S309" s="145">
        <f aca="true" t="shared" si="176" ref="S309:AC309">IF(S307=0,0,RATE(S310,S313,-S307)*12)</f>
        <v>0</v>
      </c>
      <c r="T309" s="145">
        <f t="shared" si="176"/>
        <v>0</v>
      </c>
      <c r="U309" s="145">
        <f t="shared" si="176"/>
        <v>0</v>
      </c>
      <c r="V309" s="145">
        <f t="shared" si="176"/>
        <v>0</v>
      </c>
      <c r="W309" s="145">
        <f t="shared" si="176"/>
        <v>0</v>
      </c>
      <c r="X309" s="145">
        <f t="shared" si="176"/>
        <v>0</v>
      </c>
      <c r="Y309" s="145">
        <f t="shared" si="176"/>
        <v>0</v>
      </c>
      <c r="Z309" s="145">
        <f t="shared" si="176"/>
        <v>0</v>
      </c>
      <c r="AA309" s="145">
        <f t="shared" si="176"/>
        <v>0</v>
      </c>
      <c r="AB309" s="145">
        <f t="shared" si="176"/>
        <v>0</v>
      </c>
      <c r="AC309" s="145">
        <f t="shared" si="176"/>
        <v>0</v>
      </c>
    </row>
    <row r="310" spans="1:29" ht="17.25" customHeight="1">
      <c r="A310" t="s">
        <v>56</v>
      </c>
      <c r="B310" s="147">
        <v>36</v>
      </c>
      <c r="C310">
        <f>+B310</f>
        <v>36</v>
      </c>
      <c r="D310">
        <f aca="true" t="shared" si="177" ref="D310:N310">+C310</f>
        <v>36</v>
      </c>
      <c r="E310">
        <f t="shared" si="177"/>
        <v>36</v>
      </c>
      <c r="F310">
        <f t="shared" si="177"/>
        <v>36</v>
      </c>
      <c r="G310">
        <f t="shared" si="177"/>
        <v>36</v>
      </c>
      <c r="H310">
        <f t="shared" si="177"/>
        <v>36</v>
      </c>
      <c r="I310">
        <f t="shared" si="177"/>
        <v>36</v>
      </c>
      <c r="J310">
        <f t="shared" si="177"/>
        <v>36</v>
      </c>
      <c r="K310">
        <f t="shared" si="177"/>
        <v>36</v>
      </c>
      <c r="L310">
        <f t="shared" si="177"/>
        <v>36</v>
      </c>
      <c r="M310">
        <f t="shared" si="177"/>
        <v>36</v>
      </c>
      <c r="N310">
        <f t="shared" si="177"/>
        <v>36</v>
      </c>
      <c r="P310" t="s">
        <v>56</v>
      </c>
      <c r="Q310" s="147">
        <v>36</v>
      </c>
      <c r="R310">
        <f>+Q310</f>
        <v>36</v>
      </c>
      <c r="S310">
        <f aca="true" t="shared" si="178" ref="S310:AC310">+R310</f>
        <v>36</v>
      </c>
      <c r="T310">
        <f t="shared" si="178"/>
        <v>36</v>
      </c>
      <c r="U310">
        <f t="shared" si="178"/>
        <v>36</v>
      </c>
      <c r="V310">
        <f t="shared" si="178"/>
        <v>36</v>
      </c>
      <c r="W310">
        <f t="shared" si="178"/>
        <v>36</v>
      </c>
      <c r="X310">
        <f t="shared" si="178"/>
        <v>36</v>
      </c>
      <c r="Y310">
        <f t="shared" si="178"/>
        <v>36</v>
      </c>
      <c r="Z310">
        <f t="shared" si="178"/>
        <v>36</v>
      </c>
      <c r="AA310">
        <f t="shared" si="178"/>
        <v>36</v>
      </c>
      <c r="AB310">
        <f t="shared" si="178"/>
        <v>36</v>
      </c>
      <c r="AC310">
        <f t="shared" si="178"/>
        <v>36</v>
      </c>
    </row>
    <row r="311" spans="1:29" ht="17.25" customHeight="1">
      <c r="A311" t="s">
        <v>57</v>
      </c>
      <c r="B311" s="148">
        <v>0.035</v>
      </c>
      <c r="C311">
        <f>+B311</f>
        <v>0.035</v>
      </c>
      <c r="D311">
        <f aca="true" t="shared" si="179" ref="D311:N311">+C311</f>
        <v>0.035</v>
      </c>
      <c r="E311">
        <f t="shared" si="179"/>
        <v>0.035</v>
      </c>
      <c r="F311">
        <f t="shared" si="179"/>
        <v>0.035</v>
      </c>
      <c r="G311">
        <f t="shared" si="179"/>
        <v>0.035</v>
      </c>
      <c r="H311">
        <f t="shared" si="179"/>
        <v>0.035</v>
      </c>
      <c r="I311">
        <f t="shared" si="179"/>
        <v>0.035</v>
      </c>
      <c r="J311">
        <f t="shared" si="179"/>
        <v>0.035</v>
      </c>
      <c r="K311">
        <f t="shared" si="179"/>
        <v>0.035</v>
      </c>
      <c r="L311">
        <f t="shared" si="179"/>
        <v>0.035</v>
      </c>
      <c r="M311">
        <f t="shared" si="179"/>
        <v>0.035</v>
      </c>
      <c r="N311">
        <f t="shared" si="179"/>
        <v>0.035</v>
      </c>
      <c r="P311" t="s">
        <v>57</v>
      </c>
      <c r="Q311" s="148">
        <v>0.0365</v>
      </c>
      <c r="R311">
        <f>+Q311</f>
        <v>0.0365</v>
      </c>
      <c r="S311">
        <f aca="true" t="shared" si="180" ref="S311:AC311">+R311</f>
        <v>0.0365</v>
      </c>
      <c r="T311">
        <f t="shared" si="180"/>
        <v>0.0365</v>
      </c>
      <c r="U311">
        <f t="shared" si="180"/>
        <v>0.0365</v>
      </c>
      <c r="V311">
        <f t="shared" si="180"/>
        <v>0.0365</v>
      </c>
      <c r="W311">
        <f t="shared" si="180"/>
        <v>0.0365</v>
      </c>
      <c r="X311">
        <f t="shared" si="180"/>
        <v>0.0365</v>
      </c>
      <c r="Y311">
        <f t="shared" si="180"/>
        <v>0.0365</v>
      </c>
      <c r="Z311">
        <f t="shared" si="180"/>
        <v>0.0365</v>
      </c>
      <c r="AA311">
        <f t="shared" si="180"/>
        <v>0.0365</v>
      </c>
      <c r="AB311">
        <f t="shared" si="180"/>
        <v>0.0365</v>
      </c>
      <c r="AC311">
        <f t="shared" si="180"/>
        <v>0.0365</v>
      </c>
    </row>
    <row r="312" ht="17.25" customHeight="1"/>
    <row r="313" spans="1:29" ht="17.25" customHeight="1">
      <c r="A313" t="s">
        <v>122</v>
      </c>
      <c r="C313" s="146">
        <f>+C307*$B311</f>
        <v>0</v>
      </c>
      <c r="D313" s="146">
        <f aca="true" t="shared" si="181" ref="D313:N313">+D307*$B311</f>
        <v>0</v>
      </c>
      <c r="E313" s="146">
        <f t="shared" si="181"/>
        <v>0</v>
      </c>
      <c r="F313" s="146">
        <f t="shared" si="181"/>
        <v>0</v>
      </c>
      <c r="G313" s="146">
        <f t="shared" si="181"/>
        <v>0</v>
      </c>
      <c r="H313" s="146">
        <f t="shared" si="181"/>
        <v>0</v>
      </c>
      <c r="I313" s="146">
        <f t="shared" si="181"/>
        <v>0</v>
      </c>
      <c r="J313" s="146">
        <f t="shared" si="181"/>
        <v>0</v>
      </c>
      <c r="K313" s="146">
        <f t="shared" si="181"/>
        <v>0</v>
      </c>
      <c r="L313" s="146">
        <f t="shared" si="181"/>
        <v>0</v>
      </c>
      <c r="M313" s="146">
        <f t="shared" si="181"/>
        <v>0</v>
      </c>
      <c r="N313" s="146">
        <f t="shared" si="181"/>
        <v>0</v>
      </c>
      <c r="P313" t="s">
        <v>122</v>
      </c>
      <c r="R313" s="146">
        <f>+R307*$B311</f>
        <v>0</v>
      </c>
      <c r="S313" s="146">
        <f aca="true" t="shared" si="182" ref="S313:AC313">+S307*$B311</f>
        <v>0</v>
      </c>
      <c r="T313" s="146">
        <f t="shared" si="182"/>
        <v>0</v>
      </c>
      <c r="U313" s="146">
        <f t="shared" si="182"/>
        <v>0</v>
      </c>
      <c r="V313" s="146">
        <f t="shared" si="182"/>
        <v>0</v>
      </c>
      <c r="W313" s="146">
        <f t="shared" si="182"/>
        <v>0</v>
      </c>
      <c r="X313" s="146">
        <f t="shared" si="182"/>
        <v>0</v>
      </c>
      <c r="Y313" s="146">
        <f t="shared" si="182"/>
        <v>0</v>
      </c>
      <c r="Z313" s="146">
        <f t="shared" si="182"/>
        <v>0</v>
      </c>
      <c r="AA313" s="146">
        <f t="shared" si="182"/>
        <v>0</v>
      </c>
      <c r="AB313" s="146">
        <f t="shared" si="182"/>
        <v>0</v>
      </c>
      <c r="AC313" s="146">
        <f t="shared" si="182"/>
        <v>0</v>
      </c>
    </row>
    <row r="314" ht="17.25" customHeight="1"/>
    <row r="315" spans="2:17" ht="17.25" customHeight="1">
      <c r="B315" s="52"/>
      <c r="Q315" s="52"/>
    </row>
  </sheetData>
  <sheetProtection/>
  <printOptions/>
  <pageMargins left="0.5" right="0.5" top="0.75" bottom="0.75" header="0.5" footer="0.5"/>
  <pageSetup firstPageNumber="1" useFirstPageNumber="1" horizontalDpi="600" verticalDpi="600" orientation="landscape" pageOrder="overThenDown" scale="51" r:id="rId4"/>
  <headerFooter alignWithMargins="0">
    <oddFooter>&amp;R&amp;A  Page &amp;P</oddFooter>
  </headerFooter>
  <rowBreaks count="6" manualBreakCount="6">
    <brk id="49" max="255" man="1"/>
    <brk id="102" max="255" man="1"/>
    <brk id="131" max="255" man="1"/>
    <brk id="179" max="255" man="1"/>
    <brk id="232" max="29" man="1"/>
    <brk id="279" max="29" man="1"/>
  </rowBreaks>
  <colBreaks count="1" manualBreakCount="1">
    <brk id="15" max="65535" man="1"/>
  </colBreaks>
  <drawing r:id="rId3"/>
  <legacyDrawing r:id="rId2"/>
</worksheet>
</file>

<file path=xl/worksheets/sheet8.xml><?xml version="1.0" encoding="utf-8"?>
<worksheet xmlns="http://schemas.openxmlformats.org/spreadsheetml/2006/main" xmlns:r="http://schemas.openxmlformats.org/officeDocument/2006/relationships">
  <dimension ref="A1:R124"/>
  <sheetViews>
    <sheetView zoomScale="70" zoomScaleNormal="70" zoomScaleSheetLayoutView="35" zoomScalePageLayoutView="0" workbookViewId="0" topLeftCell="A1">
      <selection activeCell="K13" sqref="K13"/>
    </sheetView>
  </sheetViews>
  <sheetFormatPr defaultColWidth="8.72265625" defaultRowHeight="18" outlineLevelRow="1"/>
  <cols>
    <col min="1" max="1" width="23.453125" style="0" customWidth="1"/>
    <col min="2" max="2" width="11.90625" style="0" customWidth="1"/>
    <col min="3" max="3" width="14.0859375" style="113" customWidth="1"/>
    <col min="4" max="4" width="14.0859375" style="114" customWidth="1"/>
    <col min="5" max="5" width="14.0859375" style="115" customWidth="1"/>
    <col min="6" max="7" width="14.54296875" style="115" customWidth="1"/>
    <col min="8" max="8" width="8.72265625" style="25" customWidth="1"/>
    <col min="9" max="9" width="11.99609375" style="25" bestFit="1" customWidth="1"/>
    <col min="10" max="10" width="8.99609375" style="25" bestFit="1" customWidth="1"/>
    <col min="11" max="13" width="8.72265625" style="25" customWidth="1"/>
  </cols>
  <sheetData>
    <row r="1" spans="1:7" ht="18">
      <c r="A1" s="24" t="str">
        <f>+Cover!A13</f>
        <v>MyCo</v>
      </c>
      <c r="E1" s="275"/>
      <c r="G1" s="275" t="str">
        <f>Cover!A17</f>
        <v>Draft 1.0</v>
      </c>
    </row>
    <row r="2" ht="23.25">
      <c r="A2" s="20" t="s">
        <v>113</v>
      </c>
    </row>
    <row r="3" ht="18">
      <c r="A3" s="25" t="s">
        <v>129</v>
      </c>
    </row>
    <row r="4" ht="18">
      <c r="A4" s="25"/>
    </row>
    <row r="5" spans="2:7" ht="18">
      <c r="B5" s="116"/>
      <c r="C5" s="238" t="str">
        <f>IF(C6="Year 1","","Year")</f>
        <v>Year</v>
      </c>
      <c r="D5" s="238" t="str">
        <f>IF(D6="Year 2","","Year")</f>
        <v>Year</v>
      </c>
      <c r="E5" s="238" t="str">
        <f>IF(E6="Year 3","","Year")</f>
        <v>Year</v>
      </c>
      <c r="F5" s="238" t="str">
        <f>IF(F6="Year 4","","Year")</f>
        <v>Year</v>
      </c>
      <c r="G5" s="238" t="str">
        <f>IF(G6="Year 5","","Year")</f>
        <v>Year</v>
      </c>
    </row>
    <row r="6" spans="2:18" ht="27" customHeight="1">
      <c r="B6" s="116"/>
      <c r="C6" s="239">
        <f>IF(Headcount!$A3="Year 1","Year 1",Headcount!A3)</f>
        <v>2022</v>
      </c>
      <c r="D6" s="239">
        <f>IF(Headcount!$A3="Year 1","Year 2",C6+1)</f>
        <v>2023</v>
      </c>
      <c r="E6" s="239">
        <f>IF(Headcount!$A3="Year 1","Year 3",D6+1)</f>
        <v>2024</v>
      </c>
      <c r="F6" s="239">
        <f>IF(Headcount!$A3="Year 1","Year 4",E6+1)</f>
        <v>2025</v>
      </c>
      <c r="G6" s="239">
        <f>IF(Headcount!$A3="Year 1","Year 5",F6+1)</f>
        <v>2026</v>
      </c>
      <c r="R6" s="44"/>
    </row>
    <row r="7" ht="18"/>
    <row r="8" spans="1:7" ht="18" outlineLevel="1">
      <c r="A8" s="611" t="s">
        <v>8</v>
      </c>
      <c r="B8" s="117"/>
      <c r="C8" s="118"/>
      <c r="D8" s="119"/>
      <c r="E8" s="120"/>
      <c r="F8" s="120"/>
      <c r="G8" s="120"/>
    </row>
    <row r="9" spans="1:7" ht="17.25" customHeight="1" outlineLevel="1">
      <c r="A9" s="121" t="str">
        <f>+Financials!A8</f>
        <v>Product 1</v>
      </c>
      <c r="B9" s="121"/>
      <c r="C9" s="122">
        <f>+Financials!O8</f>
        <v>0</v>
      </c>
      <c r="D9" s="114">
        <f>+Financials!AD8</f>
        <v>0</v>
      </c>
      <c r="E9" s="114">
        <f aca="true" t="shared" si="0" ref="E9:G13">IF(E$17&lt;1,"",+(D9/D$17)*E$17)</f>
      </c>
      <c r="F9" s="114">
        <f t="shared" si="0"/>
      </c>
      <c r="G9" s="114">
        <f t="shared" si="0"/>
      </c>
    </row>
    <row r="10" spans="1:7" ht="17.25" customHeight="1" outlineLevel="1">
      <c r="A10" s="121" t="str">
        <f>+Financials!A9</f>
        <v>Product 2</v>
      </c>
      <c r="B10" s="121"/>
      <c r="C10" s="122">
        <f>+Financials!O9</f>
        <v>0</v>
      </c>
      <c r="D10" s="114">
        <f>+Financials!AD9</f>
        <v>0</v>
      </c>
      <c r="E10" s="114">
        <f t="shared" si="0"/>
      </c>
      <c r="F10" s="114">
        <f t="shared" si="0"/>
      </c>
      <c r="G10" s="114">
        <f t="shared" si="0"/>
      </c>
    </row>
    <row r="11" spans="1:7" ht="17.25" customHeight="1" outlineLevel="1">
      <c r="A11" s="121" t="str">
        <f>+Financials!A10</f>
        <v>Product 3</v>
      </c>
      <c r="B11" s="121"/>
      <c r="C11" s="122">
        <f>+Financials!O10</f>
        <v>0</v>
      </c>
      <c r="D11" s="114">
        <f>+Financials!AD10</f>
        <v>0</v>
      </c>
      <c r="E11" s="114">
        <f t="shared" si="0"/>
      </c>
      <c r="F11" s="114">
        <f t="shared" si="0"/>
      </c>
      <c r="G11" s="114">
        <f t="shared" si="0"/>
      </c>
    </row>
    <row r="12" spans="1:7" ht="17.25" customHeight="1" outlineLevel="1">
      <c r="A12" s="121" t="str">
        <f>+Financials!A11</f>
        <v>Product 4</v>
      </c>
      <c r="B12" s="121"/>
      <c r="C12" s="122">
        <f>+Financials!O11</f>
        <v>0</v>
      </c>
      <c r="D12" s="114">
        <f>+Financials!AD11</f>
        <v>0</v>
      </c>
      <c r="E12" s="114">
        <f t="shared" si="0"/>
      </c>
      <c r="F12" s="114">
        <f t="shared" si="0"/>
      </c>
      <c r="G12" s="114">
        <f t="shared" si="0"/>
      </c>
    </row>
    <row r="13" spans="1:7" ht="18" outlineLevel="1">
      <c r="A13" s="121" t="str">
        <f>+Financials!A12</f>
        <v>Product 5</v>
      </c>
      <c r="B13" s="121"/>
      <c r="C13" s="122">
        <f>+Financials!O12</f>
        <v>0</v>
      </c>
      <c r="D13" s="114">
        <f>+Financials!AD12</f>
        <v>0</v>
      </c>
      <c r="E13" s="114">
        <f t="shared" si="0"/>
      </c>
      <c r="F13" s="114">
        <f aca="true" t="shared" si="1" ref="F13:G16">IF(F$17&lt;1,"",+(E13/E$17)*F$17)</f>
      </c>
      <c r="G13" s="114">
        <f t="shared" si="1"/>
      </c>
    </row>
    <row r="14" spans="1:7" ht="18" outlineLevel="1">
      <c r="A14" s="121" t="str">
        <f>+Financials!A13</f>
        <v>Product 6</v>
      </c>
      <c r="B14" s="121"/>
      <c r="C14" s="122">
        <f>+Financials!O13</f>
        <v>0</v>
      </c>
      <c r="D14" s="114">
        <f>+Financials!AD13</f>
        <v>0</v>
      </c>
      <c r="E14" s="114">
        <f>IF(E$17&lt;1,"",+(D14/D$17)*E$17)</f>
      </c>
      <c r="F14" s="114">
        <f t="shared" si="1"/>
      </c>
      <c r="G14" s="114">
        <f t="shared" si="1"/>
      </c>
    </row>
    <row r="15" spans="1:7" ht="18" outlineLevel="1">
      <c r="A15" s="121" t="str">
        <f>+Financials!A14</f>
        <v>Product 7</v>
      </c>
      <c r="B15" s="121"/>
      <c r="C15" s="122">
        <f>+Financials!O14</f>
        <v>0</v>
      </c>
      <c r="D15" s="114">
        <f>+Financials!AD14</f>
        <v>0</v>
      </c>
      <c r="E15" s="114">
        <f>IF(E$17&lt;1,"",+(D15/D$17)*E$17)</f>
      </c>
      <c r="F15" s="114">
        <f t="shared" si="1"/>
      </c>
      <c r="G15" s="114">
        <f t="shared" si="1"/>
      </c>
    </row>
    <row r="16" spans="1:7" ht="18" outlineLevel="1">
      <c r="A16" s="121" t="str">
        <f>+Financials!A15</f>
        <v>Product 8</v>
      </c>
      <c r="B16" s="121"/>
      <c r="C16" s="122">
        <f>+Financials!O15</f>
        <v>0</v>
      </c>
      <c r="D16" s="114">
        <f>+Financials!AD15</f>
        <v>0</v>
      </c>
      <c r="E16" s="124">
        <f>IF(E$17&lt;1,"",+(D16/D$17)*E$17)</f>
      </c>
      <c r="F16" s="124">
        <f t="shared" si="1"/>
      </c>
      <c r="G16" s="124">
        <f t="shared" si="1"/>
      </c>
    </row>
    <row r="17" spans="1:7" ht="18">
      <c r="A17" s="174" t="s">
        <v>114</v>
      </c>
      <c r="B17" s="174"/>
      <c r="C17" s="175">
        <f>SUM(C9:C16)</f>
        <v>0</v>
      </c>
      <c r="D17" s="175">
        <f>SUM(D9:D16)</f>
        <v>0</v>
      </c>
      <c r="E17" s="176">
        <f>+D17*(1+E18)</f>
        <v>0</v>
      </c>
      <c r="F17" s="176">
        <f>+E17*(1+F18)</f>
        <v>0</v>
      </c>
      <c r="G17" s="176">
        <f>+F17*(1+G18)</f>
        <v>0</v>
      </c>
    </row>
    <row r="18" spans="2:7" ht="18.75">
      <c r="B18" s="117"/>
      <c r="C18" s="489"/>
      <c r="D18" s="490">
        <f>IF(D17=0,0,1-+C17/D17)</f>
        <v>0</v>
      </c>
      <c r="E18" s="491">
        <v>1</v>
      </c>
      <c r="F18" s="491">
        <f>+E18</f>
        <v>1</v>
      </c>
      <c r="G18" s="491">
        <f>+F18</f>
        <v>1</v>
      </c>
    </row>
    <row r="19" spans="2:7" ht="18.75">
      <c r="B19" s="117"/>
      <c r="C19" s="489"/>
      <c r="D19" s="490"/>
      <c r="E19" s="491"/>
      <c r="F19" s="491"/>
      <c r="G19" s="491"/>
    </row>
    <row r="20" spans="1:7" ht="18">
      <c r="A20" s="611" t="s">
        <v>415</v>
      </c>
      <c r="B20" s="117"/>
      <c r="C20" s="117">
        <f>+Financials!O27</f>
        <v>0</v>
      </c>
      <c r="D20" s="119">
        <f>+Financials!AD29</f>
        <v>0</v>
      </c>
      <c r="E20" s="129">
        <f>+E17*(1-E23)</f>
        <v>0</v>
      </c>
      <c r="F20" s="129">
        <f>+F17*(1-F23)</f>
        <v>0</v>
      </c>
      <c r="G20" s="129">
        <f>+G17*(1-G23)</f>
        <v>0</v>
      </c>
    </row>
    <row r="21" spans="1:7" ht="18">
      <c r="A21" s="117"/>
      <c r="B21" s="127"/>
      <c r="C21" s="118"/>
      <c r="D21" s="119"/>
      <c r="E21" s="119"/>
      <c r="F21" s="119"/>
      <c r="G21" s="119"/>
    </row>
    <row r="22" spans="1:7" ht="18">
      <c r="A22" s="223" t="s">
        <v>101</v>
      </c>
      <c r="B22" s="224"/>
      <c r="C22" s="225">
        <f>+C17-C20</f>
        <v>0</v>
      </c>
      <c r="D22" s="225">
        <f>+D17-D20</f>
        <v>0</v>
      </c>
      <c r="E22" s="225">
        <f>+E23*E17</f>
        <v>0</v>
      </c>
      <c r="F22" s="225">
        <f>+F23*F17</f>
        <v>0</v>
      </c>
      <c r="G22" s="225">
        <f>+G23*G17</f>
        <v>0</v>
      </c>
    </row>
    <row r="23" spans="1:7" ht="18.75">
      <c r="A23" s="121" t="s">
        <v>11</v>
      </c>
      <c r="B23" s="19"/>
      <c r="C23" s="487">
        <f>IF(C17&lt;1,0,+C22/C17)</f>
        <v>0</v>
      </c>
      <c r="D23" s="487">
        <f>IF(D17&lt;1,0,+D22/D17)</f>
        <v>0</v>
      </c>
      <c r="E23" s="488">
        <f>+D23</f>
        <v>0</v>
      </c>
      <c r="F23" s="488">
        <f>+E23</f>
        <v>0</v>
      </c>
      <c r="G23" s="488">
        <f>+F23</f>
        <v>0</v>
      </c>
    </row>
    <row r="24" spans="1:7" ht="18">
      <c r="A24" s="121"/>
      <c r="B24" s="19"/>
      <c r="C24" s="125"/>
      <c r="E24" s="114"/>
      <c r="F24" s="114"/>
      <c r="G24" s="114"/>
    </row>
    <row r="25" spans="1:7" ht="18" customHeight="1">
      <c r="A25" s="611" t="s">
        <v>12</v>
      </c>
      <c r="B25" s="127"/>
      <c r="C25" s="266"/>
      <c r="D25" s="119"/>
      <c r="E25" s="119"/>
      <c r="F25" s="119"/>
      <c r="G25" s="119"/>
    </row>
    <row r="26" spans="1:10" ht="18">
      <c r="A26" s="127" t="s">
        <v>74</v>
      </c>
      <c r="B26" s="127"/>
      <c r="C26" s="129">
        <f>+Financials!O37</f>
        <v>0</v>
      </c>
      <c r="D26" s="129">
        <f>+Financials!AD37</f>
        <v>0</v>
      </c>
      <c r="E26" s="129">
        <f>+E17*E27</f>
        <v>0</v>
      </c>
      <c r="F26" s="129">
        <f>+F17*F27</f>
        <v>0</v>
      </c>
      <c r="G26" s="129">
        <f>+G17*G27</f>
        <v>0</v>
      </c>
      <c r="H26"/>
      <c r="I26"/>
      <c r="J26"/>
    </row>
    <row r="27" spans="1:10" ht="18.75">
      <c r="A27" s="178"/>
      <c r="B27" s="126"/>
      <c r="C27" s="485">
        <f>IF(C17&gt;0,+C26/C17,0)</f>
        <v>0</v>
      </c>
      <c r="D27" s="485">
        <f>IF(D17&gt;0,+D26/D17,0)</f>
        <v>0</v>
      </c>
      <c r="E27" s="486">
        <v>0.33</v>
      </c>
      <c r="F27" s="486">
        <f>+E27</f>
        <v>0.33</v>
      </c>
      <c r="G27" s="486">
        <f>+F27</f>
        <v>0.33</v>
      </c>
      <c r="H27" s="81"/>
      <c r="I27"/>
      <c r="J27"/>
    </row>
    <row r="28" spans="1:7" ht="18">
      <c r="A28" s="177" t="s">
        <v>116</v>
      </c>
      <c r="B28" s="126"/>
      <c r="C28" s="123">
        <f>+C22-C26</f>
        <v>0</v>
      </c>
      <c r="D28" s="123">
        <f>+D22-D26</f>
        <v>0</v>
      </c>
      <c r="E28" s="123">
        <f>+E22-E26</f>
        <v>0</v>
      </c>
      <c r="F28" s="123">
        <f>+F22-F26</f>
        <v>0</v>
      </c>
      <c r="G28" s="123">
        <f>+G22-G26</f>
        <v>0</v>
      </c>
    </row>
    <row r="29" spans="1:7" ht="18">
      <c r="A29" s="163" t="s">
        <v>163</v>
      </c>
      <c r="B29" s="163"/>
      <c r="C29" s="385">
        <f>IF(C17&lt;1,0,+C28/C17)</f>
        <v>0</v>
      </c>
      <c r="D29" s="385">
        <f>IF(D17&lt;1,0,+D28/D17)</f>
        <v>0</v>
      </c>
      <c r="E29" s="385">
        <f>IF(E17&lt;1,0,+E28/E17)</f>
        <v>0</v>
      </c>
      <c r="F29" s="385">
        <f>IF(F17&lt;1,0,+F28/F17)</f>
        <v>0</v>
      </c>
      <c r="G29" s="385">
        <f>IF(G17&lt;1,0,+G28/G17)</f>
        <v>0</v>
      </c>
    </row>
    <row r="30" spans="1:7" ht="18">
      <c r="A30" s="128"/>
      <c r="B30" s="386"/>
      <c r="C30" s="118"/>
      <c r="D30" s="119"/>
      <c r="E30" s="129"/>
      <c r="F30" s="129"/>
      <c r="G30" s="129"/>
    </row>
    <row r="31" spans="1:7" ht="18">
      <c r="A31" s="128" t="s">
        <v>17</v>
      </c>
      <c r="B31" s="287">
        <f>+Financials!B44</f>
        <v>0.02</v>
      </c>
      <c r="C31" s="118">
        <f>+Financials!O44</f>
        <v>0</v>
      </c>
      <c r="D31" s="118">
        <f>+Financials!AD44</f>
        <v>0</v>
      </c>
      <c r="E31" s="118">
        <f>+D47*$B31</f>
        <v>0</v>
      </c>
      <c r="F31" s="118">
        <f>+E47*$B31</f>
        <v>0</v>
      </c>
      <c r="G31" s="118">
        <f>+F47*$B31</f>
        <v>0</v>
      </c>
    </row>
    <row r="32" spans="1:7" ht="18">
      <c r="A32" s="128" t="s">
        <v>16</v>
      </c>
      <c r="B32" s="287"/>
      <c r="C32" s="118">
        <f>+Financials!O43</f>
        <v>0</v>
      </c>
      <c r="D32" s="118">
        <f>+Financials!AD43</f>
        <v>0</v>
      </c>
      <c r="E32" s="118">
        <f>IF(E58&lt;1,0,D32*(1+(D58/E58)))</f>
        <v>0</v>
      </c>
      <c r="F32" s="118">
        <f>IF(F58&lt;1,0,E32*(1+(E58/F58)))</f>
        <v>0</v>
      </c>
      <c r="G32" s="118">
        <f>IF(G58&lt;1,0,F32*(1+(F58/G58)))</f>
        <v>0</v>
      </c>
    </row>
    <row r="33" spans="1:7" ht="18">
      <c r="A33" s="50" t="s">
        <v>14</v>
      </c>
      <c r="B33" s="130"/>
      <c r="C33" s="131">
        <f>+Financials!O45</f>
        <v>0</v>
      </c>
      <c r="D33" s="131">
        <f>+Financials!AD45</f>
        <v>0</v>
      </c>
      <c r="E33" s="282">
        <v>0</v>
      </c>
      <c r="F33" s="282">
        <v>0</v>
      </c>
      <c r="G33" s="282">
        <v>0</v>
      </c>
    </row>
    <row r="34" spans="1:7" ht="27.75" customHeight="1">
      <c r="A34" s="179" t="s">
        <v>162</v>
      </c>
      <c r="B34" s="180"/>
      <c r="C34" s="175">
        <f>+C28+C31-C32-C33</f>
        <v>0</v>
      </c>
      <c r="D34" s="175">
        <f>+D28+D31-D32-D33</f>
        <v>0</v>
      </c>
      <c r="E34" s="175">
        <f>+E28+E31-E32-E33</f>
        <v>0</v>
      </c>
      <c r="F34" s="175">
        <f>+F28+F31-F32-F33</f>
        <v>0</v>
      </c>
      <c r="G34" s="175">
        <f>+G28+G31-G32-G33</f>
        <v>0</v>
      </c>
    </row>
    <row r="35" spans="1:7" ht="27.75" customHeight="1">
      <c r="A35" s="183" t="s">
        <v>164</v>
      </c>
      <c r="B35" s="182"/>
      <c r="C35" s="241">
        <f>IF(C17&gt;0,+C34/C17,0)</f>
        <v>0</v>
      </c>
      <c r="D35" s="241">
        <f>IF(D17&gt;0,+D34/D17,0)</f>
        <v>0</v>
      </c>
      <c r="E35" s="241">
        <f>IF(E17&gt;0,+E34/E17,0)</f>
        <v>0</v>
      </c>
      <c r="F35" s="241">
        <f>IF(F17&gt;0,+F34/F17,0)</f>
        <v>0</v>
      </c>
      <c r="G35" s="241">
        <f>IF(G17&gt;0,+G34/G17,0)</f>
        <v>0</v>
      </c>
    </row>
    <row r="36" spans="1:7" ht="19.5" customHeight="1">
      <c r="A36" s="181" t="s">
        <v>117</v>
      </c>
      <c r="B36" s="182"/>
      <c r="C36" s="123">
        <f>+C34</f>
        <v>0</v>
      </c>
      <c r="D36" s="124">
        <f>+D34+C36</f>
        <v>0</v>
      </c>
      <c r="E36" s="124">
        <f>+E34+D36</f>
        <v>0</v>
      </c>
      <c r="F36" s="124">
        <f>+F34+E36</f>
        <v>0</v>
      </c>
      <c r="G36" s="124">
        <f>+G34+F36</f>
        <v>0</v>
      </c>
    </row>
    <row r="37" ht="18"/>
    <row r="38" spans="1:7" ht="18">
      <c r="A38" s="24" t="str">
        <f>+A1</f>
        <v>MyCo</v>
      </c>
      <c r="G38" s="275" t="str">
        <f>$G$1</f>
        <v>Draft 1.0</v>
      </c>
    </row>
    <row r="39" ht="23.25">
      <c r="A39" s="20" t="s">
        <v>383</v>
      </c>
    </row>
    <row r="40" ht="18">
      <c r="A40" s="59" t="str">
        <f>+A3</f>
        <v>(Dollars)</v>
      </c>
    </row>
    <row r="41" ht="23.25">
      <c r="A41" s="20"/>
    </row>
    <row r="42" spans="2:7" ht="18">
      <c r="B42" s="424" t="s">
        <v>155</v>
      </c>
      <c r="C42" s="190" t="str">
        <f aca="true" t="shared" si="2" ref="C42:G43">+C5</f>
        <v>Year</v>
      </c>
      <c r="D42" s="190" t="str">
        <f t="shared" si="2"/>
        <v>Year</v>
      </c>
      <c r="E42" s="190" t="str">
        <f t="shared" si="2"/>
        <v>Year</v>
      </c>
      <c r="F42" s="190" t="str">
        <f t="shared" si="2"/>
        <v>Year</v>
      </c>
      <c r="G42" s="190" t="str">
        <f t="shared" si="2"/>
        <v>Year</v>
      </c>
    </row>
    <row r="43" spans="1:7" ht="21" customHeight="1">
      <c r="A43" s="25"/>
      <c r="B43" s="425" t="s">
        <v>156</v>
      </c>
      <c r="C43" s="133">
        <f t="shared" si="2"/>
        <v>2022</v>
      </c>
      <c r="D43" s="133">
        <f t="shared" si="2"/>
        <v>2023</v>
      </c>
      <c r="E43" s="133">
        <f t="shared" si="2"/>
        <v>2024</v>
      </c>
      <c r="F43" s="133">
        <f t="shared" si="2"/>
        <v>2025</v>
      </c>
      <c r="G43" s="133">
        <f t="shared" si="2"/>
        <v>2026</v>
      </c>
    </row>
    <row r="44" spans="1:3" ht="18">
      <c r="A44" s="134" t="s">
        <v>19</v>
      </c>
      <c r="B44" s="25"/>
      <c r="C44" s="122"/>
    </row>
    <row r="45" spans="1:3" ht="6.75" customHeight="1">
      <c r="A45" s="25"/>
      <c r="B45" s="25"/>
      <c r="C45" s="122"/>
    </row>
    <row r="46" spans="1:7" ht="18">
      <c r="A46" s="108" t="s">
        <v>22</v>
      </c>
      <c r="B46" s="25"/>
      <c r="C46" s="122"/>
      <c r="E46" s="122"/>
      <c r="F46" s="122"/>
      <c r="G46" s="122"/>
    </row>
    <row r="47" spans="1:7" ht="16.5" customHeight="1">
      <c r="A47" s="25" t="str">
        <f>+Financials!A59</f>
        <v>Cash</v>
      </c>
      <c r="B47" s="114">
        <f>+Financials!B59</f>
        <v>0</v>
      </c>
      <c r="C47" s="122">
        <f>+Financials!N59</f>
        <v>0</v>
      </c>
      <c r="D47" s="114">
        <f>+Financials!AC59</f>
        <v>0</v>
      </c>
      <c r="E47" s="122">
        <f>+E123</f>
        <v>0</v>
      </c>
      <c r="F47" s="122">
        <f>+F123</f>
        <v>0</v>
      </c>
      <c r="G47" s="122">
        <f>+G123</f>
        <v>0</v>
      </c>
    </row>
    <row r="48" spans="1:7" ht="18">
      <c r="A48" s="25" t="str">
        <f>+Financials!A60</f>
        <v>Accounts Receivable (30)</v>
      </c>
      <c r="B48" s="114">
        <f>+Financials!B60</f>
        <v>0</v>
      </c>
      <c r="C48" s="122">
        <f>+Financials!N60</f>
        <v>0</v>
      </c>
      <c r="D48" s="122">
        <f>+Financials!AC60</f>
        <v>0</v>
      </c>
      <c r="E48" s="135">
        <f>(+E17/12)</f>
        <v>0</v>
      </c>
      <c r="F48" s="135">
        <f>(+F17/12)</f>
        <v>0</v>
      </c>
      <c r="G48" s="135">
        <f>(+G17/12)</f>
        <v>0</v>
      </c>
    </row>
    <row r="49" spans="1:7" ht="18">
      <c r="A49" s="25" t="str">
        <f>+Financials!A61</f>
        <v>Inventory (2 mo)</v>
      </c>
      <c r="B49" s="114">
        <f>+Financials!B61</f>
        <v>0</v>
      </c>
      <c r="C49" s="122">
        <f>+Financials!N61</f>
        <v>0</v>
      </c>
      <c r="D49" s="122">
        <f>+Financials!AC61</f>
        <v>0</v>
      </c>
      <c r="E49" s="135">
        <f aca="true" t="shared" si="3" ref="E49:G50">+D49</f>
        <v>0</v>
      </c>
      <c r="F49" s="135">
        <f t="shared" si="3"/>
        <v>0</v>
      </c>
      <c r="G49" s="135">
        <f t="shared" si="3"/>
        <v>0</v>
      </c>
    </row>
    <row r="50" spans="1:7" ht="18">
      <c r="A50" s="25" t="str">
        <f>+Financials!A62</f>
        <v>Deposits</v>
      </c>
      <c r="B50" s="114">
        <f>+Financials!B62</f>
        <v>0</v>
      </c>
      <c r="C50" s="122">
        <f>+Financials!N62</f>
        <v>0</v>
      </c>
      <c r="D50" s="122">
        <f>+Financials!AC62</f>
        <v>0</v>
      </c>
      <c r="E50" s="135">
        <f t="shared" si="3"/>
        <v>0</v>
      </c>
      <c r="F50" s="135">
        <f t="shared" si="3"/>
        <v>0</v>
      </c>
      <c r="G50" s="135">
        <f t="shared" si="3"/>
        <v>0</v>
      </c>
    </row>
    <row r="51" spans="1:7" ht="18">
      <c r="A51" s="25" t="str">
        <f>+Financials!A63</f>
        <v>Other</v>
      </c>
      <c r="B51" s="114">
        <f>+Financials!B63</f>
        <v>0</v>
      </c>
      <c r="C51" s="122"/>
      <c r="D51" s="122"/>
      <c r="E51" s="135"/>
      <c r="F51" s="135"/>
      <c r="G51" s="135"/>
    </row>
    <row r="52" spans="1:7" ht="18">
      <c r="A52" s="184" t="s">
        <v>102</v>
      </c>
      <c r="B52" s="176">
        <f aca="true" t="shared" si="4" ref="B52:G52">SUM(B47:B51)</f>
        <v>0</v>
      </c>
      <c r="C52" s="175">
        <f t="shared" si="4"/>
        <v>0</v>
      </c>
      <c r="D52" s="176">
        <f t="shared" si="4"/>
        <v>0</v>
      </c>
      <c r="E52" s="176">
        <f t="shared" si="4"/>
        <v>0</v>
      </c>
      <c r="F52" s="175">
        <f t="shared" si="4"/>
        <v>0</v>
      </c>
      <c r="G52" s="175">
        <f t="shared" si="4"/>
        <v>0</v>
      </c>
    </row>
    <row r="53" spans="1:7" ht="18">
      <c r="A53" s="28"/>
      <c r="B53" s="28"/>
      <c r="C53" s="129"/>
      <c r="D53" s="119"/>
      <c r="E53" s="120"/>
      <c r="F53" s="120"/>
      <c r="G53" s="120"/>
    </row>
    <row r="54" spans="1:7" ht="18">
      <c r="A54" s="111" t="s">
        <v>24</v>
      </c>
      <c r="B54" s="28"/>
      <c r="C54" s="129"/>
      <c r="D54" s="119"/>
      <c r="E54" s="129"/>
      <c r="F54" s="129"/>
      <c r="G54" s="129"/>
    </row>
    <row r="55" spans="1:7" ht="18">
      <c r="A55" s="25" t="str">
        <f>+Financials!A67</f>
        <v>Computer Equipment</v>
      </c>
      <c r="B55" s="114">
        <f>+Financials!B67</f>
        <v>0</v>
      </c>
      <c r="C55" s="114">
        <f>+Financials!N67</f>
        <v>0</v>
      </c>
      <c r="D55" s="114">
        <f>+Financials!AC67</f>
        <v>0</v>
      </c>
      <c r="E55" s="135">
        <f>D55*(1+E$18)</f>
        <v>0</v>
      </c>
      <c r="F55" s="135">
        <f>E55*(1+F$18)</f>
        <v>0</v>
      </c>
      <c r="G55" s="135">
        <f>F55*(1+G$18)</f>
        <v>0</v>
      </c>
    </row>
    <row r="56" spans="1:7" ht="18">
      <c r="A56" s="25" t="str">
        <f>+Financials!A68</f>
        <v>Furniture &amp; Fixtures</v>
      </c>
      <c r="B56" s="114">
        <f>+Financials!B68</f>
        <v>0</v>
      </c>
      <c r="C56" s="114">
        <f>+Financials!N68</f>
        <v>0</v>
      </c>
      <c r="D56" s="114">
        <f>+Financials!AC68</f>
        <v>0</v>
      </c>
      <c r="E56" s="135">
        <f>D56*(1+E18)</f>
        <v>0</v>
      </c>
      <c r="F56" s="135">
        <f>E56*(1+F18)</f>
        <v>0</v>
      </c>
      <c r="G56" s="135">
        <f>F56*(1+G18)</f>
        <v>0</v>
      </c>
    </row>
    <row r="57" spans="1:7" ht="18">
      <c r="A57" s="25" t="str">
        <f>+Financials!A69</f>
        <v>Accum. Depreciation</v>
      </c>
      <c r="B57" s="124">
        <f>+Financials!B69</f>
        <v>0</v>
      </c>
      <c r="C57" s="114">
        <f>+Financials!N69</f>
        <v>0</v>
      </c>
      <c r="D57" s="114">
        <f>+Financials!AC69</f>
        <v>0</v>
      </c>
      <c r="E57" s="114">
        <f>D57-E33</f>
        <v>0</v>
      </c>
      <c r="F57" s="114">
        <f>E57-F33</f>
        <v>0</v>
      </c>
      <c r="G57" s="114">
        <f>F57-G33</f>
        <v>0</v>
      </c>
    </row>
    <row r="58" spans="1:7" ht="18">
      <c r="A58" s="184" t="s">
        <v>103</v>
      </c>
      <c r="B58" s="176">
        <f aca="true" t="shared" si="5" ref="B58:G58">SUM(B55:B57)</f>
        <v>0</v>
      </c>
      <c r="C58" s="175">
        <f t="shared" si="5"/>
        <v>0</v>
      </c>
      <c r="D58" s="176">
        <f t="shared" si="5"/>
        <v>0</v>
      </c>
      <c r="E58" s="176">
        <f t="shared" si="5"/>
        <v>0</v>
      </c>
      <c r="F58" s="175">
        <f t="shared" si="5"/>
        <v>0</v>
      </c>
      <c r="G58" s="175">
        <f t="shared" si="5"/>
        <v>0</v>
      </c>
    </row>
    <row r="59" spans="1:3" ht="18">
      <c r="A59" s="25"/>
      <c r="B59" s="25"/>
      <c r="C59" s="122"/>
    </row>
    <row r="60" spans="1:7" ht="18.75" thickBot="1">
      <c r="A60" s="136" t="s">
        <v>27</v>
      </c>
      <c r="B60" s="137">
        <f aca="true" t="shared" si="6" ref="B60:G60">+B52+B58</f>
        <v>0</v>
      </c>
      <c r="C60" s="137">
        <f t="shared" si="6"/>
        <v>0</v>
      </c>
      <c r="D60" s="137">
        <f t="shared" si="6"/>
        <v>0</v>
      </c>
      <c r="E60" s="137">
        <f t="shared" si="6"/>
        <v>0</v>
      </c>
      <c r="F60" s="137">
        <f t="shared" si="6"/>
        <v>0</v>
      </c>
      <c r="G60" s="137">
        <f t="shared" si="6"/>
        <v>0</v>
      </c>
    </row>
    <row r="61" spans="1:3" ht="18.75" thickTop="1">
      <c r="A61" s="25"/>
      <c r="B61" s="25"/>
      <c r="C61" s="122"/>
    </row>
    <row r="62" spans="1:3" ht="18.75">
      <c r="A62" s="153"/>
      <c r="B62" s="25"/>
      <c r="C62" s="122"/>
    </row>
    <row r="63" spans="1:3" ht="18">
      <c r="A63" s="134" t="s">
        <v>28</v>
      </c>
      <c r="B63" s="25"/>
      <c r="C63" s="122"/>
    </row>
    <row r="64" spans="1:3" ht="6.75" customHeight="1">
      <c r="A64" s="25"/>
      <c r="B64" s="25"/>
      <c r="C64" s="122"/>
    </row>
    <row r="65" spans="1:7" ht="18">
      <c r="A65" s="25" t="str">
        <f>+Financials!A76</f>
        <v>Current Liabilities</v>
      </c>
      <c r="B65" s="25"/>
      <c r="C65" s="122"/>
      <c r="E65" s="122"/>
      <c r="F65" s="122"/>
      <c r="G65" s="122"/>
    </row>
    <row r="66" spans="1:7" ht="18">
      <c r="A66" s="138" t="str">
        <f>+Financials!A77</f>
        <v>Accounts Payable (7 days)</v>
      </c>
      <c r="B66" s="114">
        <f>+Financials!B77</f>
        <v>0</v>
      </c>
      <c r="C66" s="122">
        <f>+Financials!N77</f>
        <v>0</v>
      </c>
      <c r="D66" s="122">
        <f>+Financials!AC77</f>
        <v>0</v>
      </c>
      <c r="E66" s="122">
        <f>IF(E26=0,0,IF(E17=0,0,(E26/12)*1+E18))</f>
        <v>0</v>
      </c>
      <c r="F66" s="122">
        <f>IF(F26=0,0,IF(F17=0,0,(F26/12)*1+F18))</f>
        <v>0</v>
      </c>
      <c r="G66" s="122">
        <f>IF(G26=0,0,IF(G17=0,0,(G26/12)*1+G18))</f>
        <v>0</v>
      </c>
    </row>
    <row r="67" spans="1:7" ht="18">
      <c r="A67" s="138" t="str">
        <f>+Financials!A78</f>
        <v>Other</v>
      </c>
      <c r="B67" s="114">
        <f>+Financials!B78</f>
        <v>0</v>
      </c>
      <c r="C67" s="122">
        <f>+Financials!N78</f>
        <v>0</v>
      </c>
      <c r="D67" s="122">
        <f>+Financials!AC78</f>
        <v>0</v>
      </c>
      <c r="E67" s="122">
        <f aca="true" t="shared" si="7" ref="E67:G68">+D67</f>
        <v>0</v>
      </c>
      <c r="F67" s="122">
        <f t="shared" si="7"/>
        <v>0</v>
      </c>
      <c r="G67" s="122">
        <f t="shared" si="7"/>
        <v>0</v>
      </c>
    </row>
    <row r="68" spans="1:7" ht="18">
      <c r="A68" s="138" t="str">
        <f>+Financials!A79</f>
        <v>Line of Credit</v>
      </c>
      <c r="B68" s="114">
        <f>+Financials!B79</f>
        <v>0</v>
      </c>
      <c r="C68" s="122">
        <f>+Financials!N79</f>
        <v>0</v>
      </c>
      <c r="D68" s="122">
        <f>+Financials!AC79</f>
        <v>0</v>
      </c>
      <c r="E68" s="135">
        <f t="shared" si="7"/>
        <v>0</v>
      </c>
      <c r="F68" s="135">
        <f t="shared" si="7"/>
        <v>0</v>
      </c>
      <c r="G68" s="135">
        <f t="shared" si="7"/>
        <v>0</v>
      </c>
    </row>
    <row r="69" spans="1:7" ht="18">
      <c r="A69" s="184" t="s">
        <v>115</v>
      </c>
      <c r="B69" s="426">
        <f aca="true" t="shared" si="8" ref="B69:G69">SUM(B66:B68)</f>
        <v>0</v>
      </c>
      <c r="C69" s="175">
        <f t="shared" si="8"/>
        <v>0</v>
      </c>
      <c r="D69" s="175">
        <f t="shared" si="8"/>
        <v>0</v>
      </c>
      <c r="E69" s="175">
        <f t="shared" si="8"/>
        <v>0</v>
      </c>
      <c r="F69" s="175">
        <f t="shared" si="8"/>
        <v>0</v>
      </c>
      <c r="G69" s="175">
        <f t="shared" si="8"/>
        <v>0</v>
      </c>
    </row>
    <row r="70" spans="1:7" ht="18">
      <c r="A70" s="28"/>
      <c r="B70" s="28"/>
      <c r="C70" s="129"/>
      <c r="D70" s="129"/>
      <c r="E70" s="120"/>
      <c r="F70" s="120"/>
      <c r="G70" s="120"/>
    </row>
    <row r="71" spans="1:7" ht="18">
      <c r="A71" s="28" t="str">
        <f>+Financials!A82</f>
        <v>Long Term Liabilities</v>
      </c>
      <c r="B71" s="28"/>
      <c r="C71" s="152"/>
      <c r="D71" s="119"/>
      <c r="E71" s="120"/>
      <c r="F71" s="120"/>
      <c r="G71" s="120"/>
    </row>
    <row r="72" spans="1:7" ht="18">
      <c r="A72" s="28" t="str">
        <f>+Financials!A83</f>
        <v>Revolving Line of Credit</v>
      </c>
      <c r="B72" s="28"/>
      <c r="C72" s="129">
        <f>+Financials!N83</f>
        <v>0</v>
      </c>
      <c r="D72" s="129">
        <f>+Financials!AC83</f>
        <v>0</v>
      </c>
      <c r="E72" s="616">
        <f>+D72</f>
        <v>0</v>
      </c>
      <c r="F72" s="616">
        <f>+E72</f>
        <v>0</v>
      </c>
      <c r="G72" s="616">
        <f>+F72</f>
        <v>0</v>
      </c>
    </row>
    <row r="73" spans="1:7" ht="18">
      <c r="A73" s="28" t="str">
        <f>+Financials!A84</f>
        <v>Notes Payable</v>
      </c>
      <c r="B73" s="119">
        <f>+Financials!B84</f>
        <v>0</v>
      </c>
      <c r="C73" s="129">
        <f>+Financials!N84</f>
        <v>0</v>
      </c>
      <c r="D73" s="129">
        <f>+Financials!AC84</f>
        <v>0</v>
      </c>
      <c r="E73" s="616">
        <f aca="true" t="shared" si="9" ref="E73:G75">+D73</f>
        <v>0</v>
      </c>
      <c r="F73" s="616">
        <f t="shared" si="9"/>
        <v>0</v>
      </c>
      <c r="G73" s="616">
        <f t="shared" si="9"/>
        <v>0</v>
      </c>
    </row>
    <row r="74" spans="1:7" ht="18">
      <c r="A74" s="28" t="str">
        <f>+Financials!A85</f>
        <v>Capital Lease</v>
      </c>
      <c r="B74" s="119">
        <f>+Financials!B85</f>
        <v>0</v>
      </c>
      <c r="C74" s="129">
        <f>+Financials!N85</f>
        <v>0</v>
      </c>
      <c r="D74" s="129">
        <f>+Financials!AC85</f>
        <v>0</v>
      </c>
      <c r="E74" s="616">
        <f t="shared" si="9"/>
        <v>0</v>
      </c>
      <c r="F74" s="616">
        <f t="shared" si="9"/>
        <v>0</v>
      </c>
      <c r="G74" s="616">
        <f t="shared" si="9"/>
        <v>0</v>
      </c>
    </row>
    <row r="75" spans="1:7" ht="18">
      <c r="A75" s="28" t="str">
        <f>+Financials!A86</f>
        <v>Other</v>
      </c>
      <c r="B75" s="119"/>
      <c r="C75" s="123">
        <f>+Financials!N86</f>
        <v>0</v>
      </c>
      <c r="D75" s="123">
        <f>+Financials!AC86</f>
        <v>0</v>
      </c>
      <c r="E75" s="617">
        <f t="shared" si="9"/>
        <v>0</v>
      </c>
      <c r="F75" s="617">
        <f t="shared" si="9"/>
        <v>0</v>
      </c>
      <c r="G75" s="617">
        <f t="shared" si="9"/>
        <v>0</v>
      </c>
    </row>
    <row r="76" spans="1:7" ht="18">
      <c r="A76" s="184" t="str">
        <f>+Financials!A87</f>
        <v>Total Long Term Liabilities</v>
      </c>
      <c r="B76" s="426">
        <f>SUM(B73:B75)</f>
        <v>0</v>
      </c>
      <c r="C76" s="175">
        <f>SUM(C72:C75)</f>
        <v>0</v>
      </c>
      <c r="D76" s="175">
        <f>SUM(D72:D75)</f>
        <v>0</v>
      </c>
      <c r="E76" s="175">
        <f>SUM(E72:E75)</f>
        <v>0</v>
      </c>
      <c r="F76" s="175">
        <f>SUM(F72:F75)</f>
        <v>0</v>
      </c>
      <c r="G76" s="175">
        <f>SUM(G72:G75)</f>
        <v>0</v>
      </c>
    </row>
    <row r="77" spans="1:7" ht="18">
      <c r="A77" s="28"/>
      <c r="B77" s="427"/>
      <c r="C77" s="129"/>
      <c r="D77" s="129"/>
      <c r="E77" s="129"/>
      <c r="F77" s="129"/>
      <c r="G77" s="129"/>
    </row>
    <row r="78" spans="1:7" ht="18">
      <c r="A78" s="28" t="s">
        <v>34</v>
      </c>
      <c r="B78" s="427">
        <f aca="true" t="shared" si="10" ref="B78:G78">+B69+B76</f>
        <v>0</v>
      </c>
      <c r="C78" s="427">
        <f t="shared" si="10"/>
        <v>0</v>
      </c>
      <c r="D78" s="427">
        <f t="shared" si="10"/>
        <v>0</v>
      </c>
      <c r="E78" s="427">
        <f t="shared" si="10"/>
        <v>0</v>
      </c>
      <c r="F78" s="427">
        <f t="shared" si="10"/>
        <v>0</v>
      </c>
      <c r="G78" s="427">
        <f t="shared" si="10"/>
        <v>0</v>
      </c>
    </row>
    <row r="79" spans="1:7" ht="18">
      <c r="A79" s="28"/>
      <c r="B79" s="28"/>
      <c r="C79" s="129"/>
      <c r="D79" s="119"/>
      <c r="E79" s="129"/>
      <c r="F79" s="129"/>
      <c r="G79" s="129"/>
    </row>
    <row r="80" spans="1:3" ht="18">
      <c r="A80" s="134" t="s">
        <v>35</v>
      </c>
      <c r="B80" s="25"/>
      <c r="C80" s="122"/>
    </row>
    <row r="81" spans="1:7" ht="18">
      <c r="A81" s="615" t="str">
        <f>+Financials!A92</f>
        <v>Common Stock</v>
      </c>
      <c r="B81" s="614">
        <f>+Financials!B92</f>
        <v>0</v>
      </c>
      <c r="C81" s="614">
        <f>+Financials!N92</f>
        <v>0</v>
      </c>
      <c r="D81" s="614">
        <f>+Financials!AC92</f>
        <v>0</v>
      </c>
      <c r="E81" s="614">
        <f aca="true" t="shared" si="11" ref="E81:G85">+D81</f>
        <v>0</v>
      </c>
      <c r="F81" s="614">
        <f t="shared" si="11"/>
        <v>0</v>
      </c>
      <c r="G81" s="614">
        <f t="shared" si="11"/>
        <v>0</v>
      </c>
    </row>
    <row r="82" spans="1:7" ht="18">
      <c r="A82" s="615" t="str">
        <f>+Financials!A93</f>
        <v>Additional Paid-in Capital</v>
      </c>
      <c r="B82" s="614">
        <f>+Financials!B93</f>
        <v>0</v>
      </c>
      <c r="C82" s="614">
        <f>+Financials!N93</f>
        <v>0</v>
      </c>
      <c r="D82" s="614">
        <f>+Financials!AC93</f>
        <v>0</v>
      </c>
      <c r="E82" s="614">
        <f>+D82</f>
        <v>0</v>
      </c>
      <c r="F82" s="614">
        <f t="shared" si="11"/>
        <v>0</v>
      </c>
      <c r="G82" s="614">
        <f t="shared" si="11"/>
        <v>0</v>
      </c>
    </row>
    <row r="83" spans="1:7" ht="18">
      <c r="A83" s="615" t="str">
        <f>+Financials!A94</f>
        <v>Preferred Stock - Series A</v>
      </c>
      <c r="B83" s="614">
        <f>+Financials!B94</f>
        <v>0</v>
      </c>
      <c r="C83" s="614">
        <f>+Financials!N94</f>
        <v>0</v>
      </c>
      <c r="D83" s="614">
        <f>+Financials!AC94</f>
        <v>0</v>
      </c>
      <c r="E83" s="614">
        <f t="shared" si="11"/>
        <v>0</v>
      </c>
      <c r="F83" s="614">
        <f t="shared" si="11"/>
        <v>0</v>
      </c>
      <c r="G83" s="614">
        <f t="shared" si="11"/>
        <v>0</v>
      </c>
    </row>
    <row r="84" spans="1:7" ht="18">
      <c r="A84" s="615" t="str">
        <f>+Financials!A95</f>
        <v>Preferred Stock - Series B</v>
      </c>
      <c r="B84" s="614">
        <f>+Financials!B95</f>
        <v>0</v>
      </c>
      <c r="C84" s="614">
        <f>+Financials!N95</f>
        <v>0</v>
      </c>
      <c r="D84" s="614">
        <f>+Financials!AC95</f>
        <v>0</v>
      </c>
      <c r="E84" s="614">
        <f t="shared" si="11"/>
        <v>0</v>
      </c>
      <c r="F84" s="614">
        <f t="shared" si="11"/>
        <v>0</v>
      </c>
      <c r="G84" s="614">
        <f t="shared" si="11"/>
        <v>0</v>
      </c>
    </row>
    <row r="85" spans="1:9" ht="18">
      <c r="A85" s="615" t="str">
        <f>+Financials!A96</f>
        <v>Preferred Stock - Series C</v>
      </c>
      <c r="B85" s="614">
        <f>+Financials!B96</f>
        <v>0</v>
      </c>
      <c r="C85" s="614">
        <f>+Financials!N96</f>
        <v>0</v>
      </c>
      <c r="D85" s="614">
        <f>+Financials!AC96</f>
        <v>0</v>
      </c>
      <c r="E85" s="614">
        <f t="shared" si="11"/>
        <v>0</v>
      </c>
      <c r="F85" s="614">
        <f t="shared" si="11"/>
        <v>0</v>
      </c>
      <c r="G85" s="614">
        <f t="shared" si="11"/>
        <v>0</v>
      </c>
      <c r="I85" s="269"/>
    </row>
    <row r="86" spans="1:9" ht="18">
      <c r="A86" s="25" t="str">
        <f>+Financials!A97</f>
        <v>Retained Earnings</v>
      </c>
      <c r="B86" s="114">
        <f>+Financials!B97</f>
        <v>0</v>
      </c>
      <c r="C86" s="122">
        <f>+Financials!N97</f>
        <v>0</v>
      </c>
      <c r="D86" s="122">
        <f>+Financials!AC97</f>
        <v>0</v>
      </c>
      <c r="E86" s="122">
        <f>+D87+D86</f>
        <v>0</v>
      </c>
      <c r="F86" s="122">
        <f>+E87+E86</f>
        <v>0</v>
      </c>
      <c r="G86" s="122">
        <f>+F87+F86</f>
        <v>0</v>
      </c>
      <c r="I86" s="269"/>
    </row>
    <row r="87" spans="1:9" ht="18">
      <c r="A87" s="25" t="str">
        <f>+Financials!A98</f>
        <v>Net Income</v>
      </c>
      <c r="B87" s="124">
        <f>+Financials!B98</f>
        <v>0</v>
      </c>
      <c r="C87" s="122">
        <f>+Financials!N98</f>
        <v>0</v>
      </c>
      <c r="D87" s="122">
        <f>+Financials!AC98</f>
        <v>0</v>
      </c>
      <c r="E87" s="122">
        <f>+E34</f>
        <v>0</v>
      </c>
      <c r="F87" s="122">
        <f>+F34</f>
        <v>0</v>
      </c>
      <c r="G87" s="122">
        <f>+G34</f>
        <v>0</v>
      </c>
      <c r="I87" s="269"/>
    </row>
    <row r="88" spans="1:10" ht="18">
      <c r="A88" s="184" t="s">
        <v>104</v>
      </c>
      <c r="B88" s="426">
        <f aca="true" t="shared" si="12" ref="B88:G88">SUM(B81:B87)</f>
        <v>0</v>
      </c>
      <c r="C88" s="176">
        <f t="shared" si="12"/>
        <v>0</v>
      </c>
      <c r="D88" s="175">
        <f t="shared" si="12"/>
        <v>0</v>
      </c>
      <c r="E88" s="175">
        <f t="shared" si="12"/>
        <v>0</v>
      </c>
      <c r="F88" s="175">
        <f t="shared" si="12"/>
        <v>0</v>
      </c>
      <c r="G88" s="175">
        <f t="shared" si="12"/>
        <v>0</v>
      </c>
      <c r="I88" s="269"/>
      <c r="J88" s="269"/>
    </row>
    <row r="89" spans="1:10" ht="18">
      <c r="A89" s="132"/>
      <c r="B89" s="132"/>
      <c r="C89" s="124"/>
      <c r="D89" s="123"/>
      <c r="E89" s="123"/>
      <c r="F89" s="123"/>
      <c r="G89" s="123"/>
      <c r="J89" s="269"/>
    </row>
    <row r="90" spans="1:10" ht="18.75" thickBot="1">
      <c r="A90" s="185" t="s">
        <v>105</v>
      </c>
      <c r="B90" s="186">
        <f aca="true" t="shared" si="13" ref="B90:G90">+B69+B76+B88</f>
        <v>0</v>
      </c>
      <c r="C90" s="186">
        <f t="shared" si="13"/>
        <v>0</v>
      </c>
      <c r="D90" s="186">
        <f t="shared" si="13"/>
        <v>0</v>
      </c>
      <c r="E90" s="186">
        <f t="shared" si="13"/>
        <v>0</v>
      </c>
      <c r="F90" s="186">
        <f t="shared" si="13"/>
        <v>0</v>
      </c>
      <c r="G90" s="186">
        <f t="shared" si="13"/>
        <v>0</v>
      </c>
      <c r="J90" s="269"/>
    </row>
    <row r="91" spans="1:7" s="112" customFormat="1" ht="15.75" thickTop="1">
      <c r="A91" s="106" t="s">
        <v>106</v>
      </c>
      <c r="B91" s="139">
        <f>+B60-B90</f>
        <v>0</v>
      </c>
      <c r="C91" s="139">
        <f>+C60-C90</f>
        <v>0</v>
      </c>
      <c r="D91" s="139">
        <f>+D60-D90</f>
        <v>0</v>
      </c>
      <c r="E91" s="139">
        <f>ROUND(E60-E90,0)</f>
        <v>0</v>
      </c>
      <c r="F91" s="139">
        <f>ROUND(F60-F90,0)</f>
        <v>0</v>
      </c>
      <c r="G91" s="139">
        <f>ROUND(G60-G90,0)</f>
        <v>0</v>
      </c>
    </row>
    <row r="92" spans="1:3" ht="18">
      <c r="A92" s="25"/>
      <c r="B92" s="25"/>
      <c r="C92" s="122"/>
    </row>
    <row r="93" spans="1:7" ht="18">
      <c r="A93" s="24" t="str">
        <f>+A38</f>
        <v>MyCo</v>
      </c>
      <c r="G93" s="275" t="str">
        <f>$G$1</f>
        <v>Draft 1.0</v>
      </c>
    </row>
    <row r="94" ht="23.25">
      <c r="A94" s="20" t="s">
        <v>384</v>
      </c>
    </row>
    <row r="95" ht="18">
      <c r="A95" s="59" t="str">
        <f>+A3</f>
        <v>(Dollars)</v>
      </c>
    </row>
    <row r="96" spans="1:7" ht="18">
      <c r="A96" s="59"/>
      <c r="C96" s="190"/>
      <c r="D96" s="190"/>
      <c r="E96" s="190"/>
      <c r="F96" s="190"/>
      <c r="G96" s="190"/>
    </row>
    <row r="97" spans="1:7" ht="18">
      <c r="A97" s="59"/>
      <c r="C97" s="190"/>
      <c r="D97" s="190"/>
      <c r="E97" s="190"/>
      <c r="F97" s="190"/>
      <c r="G97" s="190"/>
    </row>
    <row r="98" spans="1:7" ht="18">
      <c r="A98" s="59"/>
      <c r="C98" s="190" t="str">
        <f aca="true" t="shared" si="14" ref="C98:G99">+C5</f>
        <v>Year</v>
      </c>
      <c r="D98" s="190" t="str">
        <f t="shared" si="14"/>
        <v>Year</v>
      </c>
      <c r="E98" s="190" t="str">
        <f t="shared" si="14"/>
        <v>Year</v>
      </c>
      <c r="F98" s="190" t="str">
        <f t="shared" si="14"/>
        <v>Year</v>
      </c>
      <c r="G98" s="190" t="str">
        <f t="shared" si="14"/>
        <v>Year</v>
      </c>
    </row>
    <row r="99" spans="1:7" ht="18">
      <c r="A99" s="25"/>
      <c r="B99" s="25"/>
      <c r="C99" s="133">
        <f t="shared" si="14"/>
        <v>2022</v>
      </c>
      <c r="D99" s="133">
        <f t="shared" si="14"/>
        <v>2023</v>
      </c>
      <c r="E99" s="133">
        <f t="shared" si="14"/>
        <v>2024</v>
      </c>
      <c r="F99" s="133">
        <f t="shared" si="14"/>
        <v>2025</v>
      </c>
      <c r="G99" s="133">
        <f t="shared" si="14"/>
        <v>2026</v>
      </c>
    </row>
    <row r="100" spans="1:7" ht="18">
      <c r="A100" s="107"/>
      <c r="E100" s="122"/>
      <c r="F100" s="122"/>
      <c r="G100" s="122"/>
    </row>
    <row r="101" spans="1:7" ht="18">
      <c r="A101" s="107"/>
      <c r="C101" s="122"/>
      <c r="E101" s="122"/>
      <c r="F101" s="122"/>
      <c r="G101" s="122"/>
    </row>
    <row r="102" spans="1:10" ht="18">
      <c r="A102" s="140" t="s">
        <v>107</v>
      </c>
      <c r="B102" s="60"/>
      <c r="C102" s="122">
        <f>+C34</f>
        <v>0</v>
      </c>
      <c r="D102" s="122">
        <f>+D34</f>
        <v>0</v>
      </c>
      <c r="E102" s="122">
        <f>+E34</f>
        <v>0</v>
      </c>
      <c r="F102" s="122">
        <f>+F34</f>
        <v>0</v>
      </c>
      <c r="G102" s="122">
        <f>+G34</f>
        <v>0</v>
      </c>
      <c r="J102" s="269"/>
    </row>
    <row r="103" spans="1:7" ht="18">
      <c r="A103" s="19"/>
      <c r="C103" s="122"/>
      <c r="E103" s="122"/>
      <c r="F103" s="122"/>
      <c r="G103" s="122"/>
    </row>
    <row r="104" spans="1:7" ht="18">
      <c r="A104" s="19" t="s">
        <v>108</v>
      </c>
      <c r="C104" s="122">
        <f>+C33</f>
        <v>0</v>
      </c>
      <c r="D104" s="122">
        <f>+D33</f>
        <v>0</v>
      </c>
      <c r="E104" s="122">
        <f>+E33</f>
        <v>0</v>
      </c>
      <c r="F104" s="122">
        <f>+F33</f>
        <v>0</v>
      </c>
      <c r="G104" s="122">
        <f>+G33</f>
        <v>0</v>
      </c>
    </row>
    <row r="105" spans="1:7" ht="18">
      <c r="A105" s="140"/>
      <c r="C105" s="122"/>
      <c r="E105" s="122"/>
      <c r="F105" s="122"/>
      <c r="G105" s="122"/>
    </row>
    <row r="106" spans="1:7" ht="18">
      <c r="A106" s="21" t="s">
        <v>109</v>
      </c>
      <c r="C106" s="122"/>
      <c r="E106" s="122"/>
      <c r="F106" s="122"/>
      <c r="G106" s="122"/>
    </row>
    <row r="107" spans="1:7" ht="18">
      <c r="A107" s="19" t="s">
        <v>86</v>
      </c>
      <c r="B107" s="122"/>
      <c r="C107" s="122">
        <f>-SUM(C48:C51)+SUM(B48:B51)</f>
        <v>0</v>
      </c>
      <c r="D107" s="122">
        <f>-SUM(D48:D51)+SUM(C48:C51)</f>
        <v>0</v>
      </c>
      <c r="E107" s="122">
        <f>-SUM(E48:E51)+SUM(D48:D51)</f>
        <v>0</v>
      </c>
      <c r="F107" s="122">
        <f>-SUM(F48:F51)+SUM(E48:E51)</f>
        <v>0</v>
      </c>
      <c r="G107" s="122">
        <f>-SUM(G48:G51)+SUM(F48:F51)</f>
        <v>0</v>
      </c>
    </row>
    <row r="108" spans="1:7" ht="18">
      <c r="A108" s="19" t="s">
        <v>87</v>
      </c>
      <c r="B108" s="122"/>
      <c r="C108" s="122">
        <f>-SUM(C55:C56)+SUM(B55:B56)</f>
        <v>0</v>
      </c>
      <c r="D108" s="122">
        <f>-SUM(D55:D56)+SUM(C55:C56)</f>
        <v>0</v>
      </c>
      <c r="E108" s="122">
        <f>-SUM(E55:E56)+SUM(D55:D56)</f>
        <v>0</v>
      </c>
      <c r="F108" s="122">
        <f>-SUM(F55:F56)+SUM(E55:E56)</f>
        <v>0</v>
      </c>
      <c r="G108" s="122">
        <f>-SUM(G55:G56)+SUM(F55:F56)</f>
        <v>0</v>
      </c>
    </row>
    <row r="109" spans="1:7" ht="18">
      <c r="A109" s="19" t="s">
        <v>88</v>
      </c>
      <c r="B109" s="122"/>
      <c r="C109" s="122">
        <f>+C69-B69</f>
        <v>0</v>
      </c>
      <c r="D109" s="122">
        <f>+D69-C69</f>
        <v>0</v>
      </c>
      <c r="E109" s="122">
        <f>+E69-D69</f>
        <v>0</v>
      </c>
      <c r="F109" s="122">
        <f>+F69-E69</f>
        <v>0</v>
      </c>
      <c r="G109" s="122">
        <f>+G69-F69</f>
        <v>0</v>
      </c>
    </row>
    <row r="110" spans="1:7" ht="18">
      <c r="A110" s="127" t="s">
        <v>99</v>
      </c>
      <c r="B110" s="129"/>
      <c r="C110" s="119">
        <f>+C76-B76</f>
        <v>0</v>
      </c>
      <c r="D110" s="119">
        <f>+D76-C76</f>
        <v>0</v>
      </c>
      <c r="E110" s="119">
        <f>+E76-D76</f>
        <v>0</v>
      </c>
      <c r="F110" s="119">
        <f>+F76-E76</f>
        <v>0</v>
      </c>
      <c r="G110" s="119">
        <f>+G76-F76</f>
        <v>0</v>
      </c>
    </row>
    <row r="111" spans="1:7" ht="18">
      <c r="A111" s="19" t="s">
        <v>97</v>
      </c>
      <c r="B111" s="124"/>
      <c r="C111" s="124">
        <f>+SUM(C81:C85)-SUM(B81:B85)</f>
        <v>0</v>
      </c>
      <c r="D111" s="124">
        <f>+SUM(D81:D85)-SUM(C81:C85)</f>
        <v>0</v>
      </c>
      <c r="E111" s="124">
        <f>+SUM(E81:E85)-SUM(D81:D85)</f>
        <v>0</v>
      </c>
      <c r="F111" s="124">
        <f>+SUM(F81:F85)-SUM(E81:E85)</f>
        <v>0</v>
      </c>
      <c r="G111" s="124">
        <f>+SUM(G81:G85)-SUM(F81:F85)</f>
        <v>0</v>
      </c>
    </row>
    <row r="112" spans="1:7" ht="18">
      <c r="A112" s="162" t="s">
        <v>110</v>
      </c>
      <c r="B112" s="175"/>
      <c r="C112" s="175">
        <f>SUM(C102:C111)</f>
        <v>0</v>
      </c>
      <c r="D112" s="129">
        <f>SUM(D102:D111)</f>
        <v>0</v>
      </c>
      <c r="E112" s="129">
        <f>SUM(E102:E111)</f>
        <v>0</v>
      </c>
      <c r="F112" s="129">
        <f>SUM(F102:F111)</f>
        <v>0</v>
      </c>
      <c r="G112" s="129">
        <f>SUM(G102:G111)</f>
        <v>0</v>
      </c>
    </row>
    <row r="113" spans="1:7" ht="18">
      <c r="A113" s="128"/>
      <c r="B113" s="13"/>
      <c r="C113" s="129"/>
      <c r="D113" s="119"/>
      <c r="E113" s="129"/>
      <c r="F113" s="129"/>
      <c r="G113" s="129"/>
    </row>
    <row r="114" spans="1:7" ht="18">
      <c r="A114" s="141"/>
      <c r="B114" s="40"/>
      <c r="C114" s="123"/>
      <c r="D114" s="124"/>
      <c r="E114" s="123"/>
      <c r="F114" s="123"/>
      <c r="G114" s="123"/>
    </row>
    <row r="115" spans="1:7" ht="18">
      <c r="A115" s="187" t="s">
        <v>111</v>
      </c>
      <c r="B115" s="175"/>
      <c r="C115" s="175">
        <f>+C112</f>
        <v>0</v>
      </c>
      <c r="D115" s="175">
        <f>+D112</f>
        <v>0</v>
      </c>
      <c r="E115" s="175">
        <f>+E112</f>
        <v>0</v>
      </c>
      <c r="F115" s="175">
        <f>+F112</f>
        <v>0</v>
      </c>
      <c r="G115" s="175">
        <f>+G112</f>
        <v>0</v>
      </c>
    </row>
    <row r="116" spans="1:7" ht="18">
      <c r="A116" s="127"/>
      <c r="B116" s="13"/>
      <c r="C116" s="129"/>
      <c r="D116" s="119"/>
      <c r="E116" s="129"/>
      <c r="F116" s="129"/>
      <c r="G116" s="129"/>
    </row>
    <row r="117" spans="1:7" ht="18">
      <c r="A117" s="19"/>
      <c r="C117" s="122"/>
      <c r="E117" s="122"/>
      <c r="F117" s="122"/>
      <c r="G117" s="122"/>
    </row>
    <row r="118" spans="1:7" ht="18">
      <c r="A118" s="140" t="s">
        <v>45</v>
      </c>
      <c r="C118" s="129">
        <f>+Financials!B59</f>
        <v>0</v>
      </c>
      <c r="D118" s="114">
        <f>+C123</f>
        <v>0</v>
      </c>
      <c r="E118" s="122">
        <f>+D123</f>
        <v>0</v>
      </c>
      <c r="F118" s="122">
        <f>+E123</f>
        <v>0</v>
      </c>
      <c r="G118" s="122">
        <f>+F123</f>
        <v>0</v>
      </c>
    </row>
    <row r="119" spans="1:7" ht="18">
      <c r="A119" s="19"/>
      <c r="C119" s="122"/>
      <c r="E119" s="122"/>
      <c r="F119" s="122"/>
      <c r="G119" s="122"/>
    </row>
    <row r="120" spans="1:7" ht="18">
      <c r="A120" s="24" t="s">
        <v>111</v>
      </c>
      <c r="B120" s="122"/>
      <c r="C120" s="122">
        <f>+C115</f>
        <v>0</v>
      </c>
      <c r="D120" s="114">
        <f>+D115</f>
        <v>0</v>
      </c>
      <c r="E120" s="122">
        <f>+E115</f>
        <v>0</v>
      </c>
      <c r="F120" s="122">
        <f>+F115</f>
        <v>0</v>
      </c>
      <c r="G120" s="122">
        <f>+G115</f>
        <v>0</v>
      </c>
    </row>
    <row r="121" spans="1:7" ht="18">
      <c r="A121" s="19"/>
      <c r="C121" s="122"/>
      <c r="E121" s="122"/>
      <c r="F121" s="122"/>
      <c r="G121" s="122"/>
    </row>
    <row r="122" spans="1:7" ht="18">
      <c r="A122" s="142"/>
      <c r="B122" s="193"/>
      <c r="C122" s="194"/>
      <c r="D122" s="195"/>
      <c r="E122" s="194"/>
      <c r="F122" s="194"/>
      <c r="G122" s="291"/>
    </row>
    <row r="123" spans="1:7" ht="18">
      <c r="A123" s="143" t="s">
        <v>112</v>
      </c>
      <c r="B123" s="144"/>
      <c r="C123" s="144">
        <f>+C118+C120</f>
        <v>0</v>
      </c>
      <c r="D123" s="144">
        <f>+D118+D120</f>
        <v>0</v>
      </c>
      <c r="E123" s="144">
        <f>+E118+E120</f>
        <v>0</v>
      </c>
      <c r="F123" s="144">
        <f>+F118+F120</f>
        <v>0</v>
      </c>
      <c r="G123" s="292">
        <f>+G118+G120</f>
        <v>0</v>
      </c>
    </row>
    <row r="124" spans="1:7" ht="18">
      <c r="A124" s="142"/>
      <c r="B124" s="193"/>
      <c r="C124" s="194"/>
      <c r="D124" s="195"/>
      <c r="E124" s="194"/>
      <c r="F124" s="194"/>
      <c r="G124" s="291"/>
    </row>
  </sheetData>
  <sheetProtection/>
  <printOptions/>
  <pageMargins left="0.5" right="0.5" top="0.75" bottom="0.75" header="0.5" footer="0.5"/>
  <pageSetup firstPageNumber="1" useFirstPageNumber="1" horizontalDpi="600" verticalDpi="600" orientation="landscape" pageOrder="overThenDown" scale="58" r:id="rId3"/>
  <headerFooter alignWithMargins="0">
    <oddFooter>&amp;R&amp;A  Page &amp;P</oddFooter>
  </headerFooter>
  <rowBreaks count="2" manualBreakCount="2">
    <brk id="37" max="6" man="1"/>
    <brk id="91" max="6" man="1"/>
  </rowBreaks>
  <legacyDrawing r:id="rId2"/>
</worksheet>
</file>

<file path=xl/worksheets/sheet9.xml><?xml version="1.0" encoding="utf-8"?>
<worksheet xmlns="http://schemas.openxmlformats.org/spreadsheetml/2006/main" xmlns:r="http://schemas.openxmlformats.org/officeDocument/2006/relationships">
  <dimension ref="A13:S466"/>
  <sheetViews>
    <sheetView view="pageBreakPreview" zoomScale="70" zoomScaleNormal="70" zoomScaleSheetLayoutView="70" zoomScalePageLayoutView="0" workbookViewId="0" topLeftCell="A1">
      <selection activeCell="A1" sqref="A1"/>
    </sheetView>
  </sheetViews>
  <sheetFormatPr defaultColWidth="8.72265625" defaultRowHeight="18"/>
  <cols>
    <col min="1" max="1" width="22.0859375" style="18" customWidth="1"/>
    <col min="2" max="8" width="10.90625" style="18" customWidth="1"/>
    <col min="9" max="9" width="11.6328125" style="18" customWidth="1"/>
    <col min="10" max="10" width="12.36328125" style="18" customWidth="1"/>
    <col min="11" max="11" width="12.90625" style="18" customWidth="1"/>
    <col min="12" max="12" width="12.36328125" style="18" customWidth="1"/>
    <col min="13" max="13" width="12.0859375" style="18" customWidth="1"/>
    <col min="14" max="14" width="10.90625" style="18" customWidth="1"/>
    <col min="15" max="15" width="8.72265625" style="18" customWidth="1"/>
    <col min="16" max="16" width="9.99609375" style="18" bestFit="1" customWidth="1"/>
    <col min="17" max="17" width="9.90625" style="18" bestFit="1" customWidth="1"/>
    <col min="18" max="18" width="10.2734375" style="18" bestFit="1" customWidth="1"/>
    <col min="19" max="19" width="10.8125" style="18" bestFit="1" customWidth="1"/>
    <col min="20" max="16384" width="8.72265625" style="18" customWidth="1"/>
  </cols>
  <sheetData>
    <row r="1" ht="18"/>
    <row r="2" ht="18"/>
    <row r="3" ht="18"/>
    <row r="4" ht="18"/>
    <row r="5" ht="18"/>
    <row r="6" ht="18"/>
    <row r="7" ht="18"/>
    <row r="8" ht="18"/>
    <row r="9" ht="18"/>
    <row r="10" ht="18"/>
    <row r="11" ht="18"/>
    <row r="12" ht="18"/>
    <row r="13" spans="1:11" s="368" customFormat="1" ht="45">
      <c r="A13" s="669" t="str">
        <f>Cover!A13</f>
        <v>MyCo</v>
      </c>
      <c r="B13" s="669"/>
      <c r="C13" s="669"/>
      <c r="D13" s="669"/>
      <c r="E13" s="669"/>
      <c r="F13" s="669"/>
      <c r="G13" s="669"/>
      <c r="H13" s="669"/>
      <c r="I13" s="669"/>
      <c r="J13" s="669"/>
      <c r="K13" s="669"/>
    </row>
    <row r="14" spans="1:11" s="368" customFormat="1" ht="33.75">
      <c r="A14" s="367"/>
      <c r="B14" s="367"/>
      <c r="C14" s="367"/>
      <c r="D14" s="367"/>
      <c r="E14" s="367"/>
      <c r="F14" s="367"/>
      <c r="G14" s="367"/>
      <c r="H14" s="367"/>
      <c r="I14" s="367"/>
      <c r="J14" s="367"/>
      <c r="K14" s="367"/>
    </row>
    <row r="15" spans="1:11" s="368" customFormat="1" ht="60">
      <c r="A15" s="670" t="s">
        <v>183</v>
      </c>
      <c r="B15" s="670"/>
      <c r="C15" s="670"/>
      <c r="D15" s="670"/>
      <c r="E15" s="670"/>
      <c r="F15" s="670"/>
      <c r="G15" s="670"/>
      <c r="H15" s="670"/>
      <c r="I15" s="670"/>
      <c r="J15" s="670"/>
      <c r="K15" s="670"/>
    </row>
    <row r="16" spans="1:11" ht="25.5">
      <c r="A16" s="672"/>
      <c r="B16" s="672"/>
      <c r="C16" s="672"/>
      <c r="D16" s="672"/>
      <c r="E16" s="672"/>
      <c r="F16" s="672"/>
      <c r="G16" s="672"/>
      <c r="H16" s="672"/>
      <c r="I16" s="672"/>
      <c r="J16" s="672"/>
      <c r="K16" s="672"/>
    </row>
    <row r="17" spans="1:11" ht="25.5">
      <c r="A17" s="672" t="str">
        <f>Cover!A17</f>
        <v>Draft 1.0</v>
      </c>
      <c r="B17" s="672"/>
      <c r="C17" s="672"/>
      <c r="D17" s="672"/>
      <c r="E17" s="672"/>
      <c r="F17" s="672"/>
      <c r="G17" s="672"/>
      <c r="H17" s="672"/>
      <c r="I17" s="672"/>
      <c r="J17" s="672"/>
      <c r="K17" s="672"/>
    </row>
    <row r="18" spans="1:11" ht="25.5">
      <c r="A18" s="673">
        <f>Cover!A18</f>
        <v>45062</v>
      </c>
      <c r="B18" s="673"/>
      <c r="C18" s="673"/>
      <c r="D18" s="673"/>
      <c r="E18" s="673"/>
      <c r="F18" s="673"/>
      <c r="G18" s="673"/>
      <c r="H18" s="673"/>
      <c r="I18" s="673"/>
      <c r="J18" s="673"/>
      <c r="K18" s="673"/>
    </row>
    <row r="19" ht="18"/>
    <row r="20" ht="18"/>
    <row r="21" ht="18"/>
    <row r="22" ht="18"/>
    <row r="23" ht="18"/>
    <row r="24" ht="18"/>
    <row r="25" ht="18"/>
    <row r="26" ht="18"/>
    <row r="27" ht="18"/>
    <row r="28" ht="18"/>
    <row r="29" ht="18"/>
    <row r="30" ht="18"/>
    <row r="31" spans="1:11" ht="18">
      <c r="A31" s="671" t="s">
        <v>184</v>
      </c>
      <c r="B31" s="671"/>
      <c r="C31" s="671"/>
      <c r="D31" s="671"/>
      <c r="E31" s="671"/>
      <c r="F31" s="671"/>
      <c r="G31" s="671"/>
      <c r="H31" s="671"/>
      <c r="I31" s="671"/>
      <c r="J31" s="671"/>
      <c r="K31" s="671"/>
    </row>
    <row r="32" spans="1:11" ht="18">
      <c r="A32" s="671" t="s">
        <v>185</v>
      </c>
      <c r="B32" s="671"/>
      <c r="C32" s="671"/>
      <c r="D32" s="671"/>
      <c r="E32" s="671"/>
      <c r="F32" s="671"/>
      <c r="G32" s="671"/>
      <c r="H32" s="671"/>
      <c r="I32" s="671"/>
      <c r="J32" s="671"/>
      <c r="K32" s="671"/>
    </row>
    <row r="33" ht="18"/>
    <row r="34" ht="18"/>
    <row r="35" ht="18"/>
    <row r="36" ht="18"/>
    <row r="37" ht="18"/>
    <row r="38" ht="18"/>
    <row r="39" ht="18"/>
    <row r="40" ht="18"/>
    <row r="41" spans="1:14" ht="18">
      <c r="A41" s="30" t="str">
        <f>Cover!$A$13</f>
        <v>MyCo</v>
      </c>
      <c r="B41" s="30"/>
      <c r="C41" s="30"/>
      <c r="D41" s="30"/>
      <c r="E41" s="30"/>
      <c r="F41" s="30"/>
      <c r="G41" s="30"/>
      <c r="H41" s="30"/>
      <c r="I41" s="30"/>
      <c r="J41" s="30"/>
      <c r="K41" s="30"/>
      <c r="L41" s="30"/>
      <c r="M41" s="30"/>
      <c r="N41" s="318" t="str">
        <f>Cover!$A$17</f>
        <v>Draft 1.0</v>
      </c>
    </row>
    <row r="42" spans="1:14" ht="23.25">
      <c r="A42" s="317" t="s">
        <v>262</v>
      </c>
      <c r="B42" s="30"/>
      <c r="C42" s="30"/>
      <c r="D42" s="30"/>
      <c r="E42" s="30"/>
      <c r="F42" s="30"/>
      <c r="G42" s="30"/>
      <c r="H42" s="30"/>
      <c r="I42" s="30"/>
      <c r="J42" s="30"/>
      <c r="K42" s="30"/>
      <c r="L42" s="30"/>
      <c r="M42" s="30"/>
      <c r="N42" s="30"/>
    </row>
    <row r="43" spans="1:14" ht="23.25">
      <c r="A43" s="317"/>
      <c r="B43" s="30"/>
      <c r="C43" s="30"/>
      <c r="D43" s="30"/>
      <c r="E43" s="30"/>
      <c r="F43" s="30"/>
      <c r="G43" s="30"/>
      <c r="H43" s="30"/>
      <c r="I43" s="30"/>
      <c r="J43" s="30"/>
      <c r="K43" s="30"/>
      <c r="L43" s="30"/>
      <c r="M43" s="30"/>
      <c r="N43" s="30"/>
    </row>
    <row r="44" spans="1:14" ht="23.25">
      <c r="A44" s="317"/>
      <c r="B44" s="30"/>
      <c r="C44" s="30"/>
      <c r="D44" s="30"/>
      <c r="E44" s="30"/>
      <c r="F44" s="30"/>
      <c r="G44" s="30"/>
      <c r="H44" s="30"/>
      <c r="I44" s="30"/>
      <c r="J44" s="30"/>
      <c r="K44" s="30"/>
      <c r="L44" s="30"/>
      <c r="M44" s="30"/>
      <c r="N44" s="30"/>
    </row>
    <row r="45" spans="1:14" ht="23.25">
      <c r="A45" s="317"/>
      <c r="B45" s="30"/>
      <c r="C45" s="30"/>
      <c r="D45" s="30"/>
      <c r="E45" s="30"/>
      <c r="F45" s="30"/>
      <c r="G45" s="30"/>
      <c r="H45" s="30"/>
      <c r="I45" s="30"/>
      <c r="J45" s="30"/>
      <c r="K45" s="30"/>
      <c r="L45" s="30"/>
      <c r="M45" s="30"/>
      <c r="N45" s="30"/>
    </row>
    <row r="46" spans="1:14" ht="18">
      <c r="A46" s="305"/>
      <c r="B46" s="313"/>
      <c r="C46" s="313"/>
      <c r="D46" s="313"/>
      <c r="E46" s="313"/>
      <c r="F46" s="313"/>
      <c r="G46" s="313"/>
      <c r="H46" s="313"/>
      <c r="I46" s="313"/>
      <c r="J46" s="313"/>
      <c r="K46" s="313"/>
      <c r="L46" s="313"/>
      <c r="M46" s="313"/>
      <c r="N46" s="313"/>
    </row>
    <row r="47" spans="1:14" ht="18.75" thickBot="1">
      <c r="A47" s="30"/>
      <c r="B47" s="625" t="str">
        <f>Headcount!C5</f>
        <v>Jan</v>
      </c>
      <c r="C47" s="625" t="str">
        <f>Headcount!D5</f>
        <v>Feb</v>
      </c>
      <c r="D47" s="625" t="str">
        <f>Headcount!E5</f>
        <v>Mar</v>
      </c>
      <c r="E47" s="625" t="str">
        <f>Headcount!F5</f>
        <v>Apr</v>
      </c>
      <c r="F47" s="625" t="str">
        <f>Headcount!G5</f>
        <v>May</v>
      </c>
      <c r="G47" s="625" t="str">
        <f>Headcount!H5</f>
        <v>Jun</v>
      </c>
      <c r="H47" s="625" t="str">
        <f>Headcount!I5</f>
        <v>Jul</v>
      </c>
      <c r="I47" s="625" t="str">
        <f>Headcount!J5</f>
        <v>Aug</v>
      </c>
      <c r="J47" s="625" t="str">
        <f>Headcount!K5</f>
        <v>Sep</v>
      </c>
      <c r="K47" s="625" t="str">
        <f>Headcount!L5</f>
        <v>Oct</v>
      </c>
      <c r="L47" s="625" t="str">
        <f>Headcount!M5</f>
        <v>Nov</v>
      </c>
      <c r="M47" s="625" t="str">
        <f>Headcount!N5</f>
        <v>Dec</v>
      </c>
      <c r="N47" s="320"/>
    </row>
    <row r="48" spans="1:14" ht="18">
      <c r="A48" s="30"/>
      <c r="B48" s="30"/>
      <c r="C48" s="30"/>
      <c r="D48" s="30"/>
      <c r="E48" s="30"/>
      <c r="F48" s="30"/>
      <c r="G48" s="30"/>
      <c r="H48" s="30"/>
      <c r="I48" s="30"/>
      <c r="J48" s="30"/>
      <c r="K48" s="30"/>
      <c r="L48" s="30"/>
      <c r="M48" s="30"/>
      <c r="N48" s="30"/>
    </row>
    <row r="49" spans="1:14" ht="20.25">
      <c r="A49" s="492">
        <f>Headcount!$A$3</f>
        <v>2022</v>
      </c>
      <c r="B49" s="337">
        <f>Headcount!C28</f>
        <v>0</v>
      </c>
      <c r="C49" s="338">
        <f>Headcount!D28</f>
        <v>0</v>
      </c>
      <c r="D49" s="338">
        <f>Headcount!E28</f>
        <v>0</v>
      </c>
      <c r="E49" s="338">
        <f>Headcount!F28</f>
        <v>0</v>
      </c>
      <c r="F49" s="338">
        <f>Headcount!G28</f>
        <v>0</v>
      </c>
      <c r="G49" s="338">
        <f>Headcount!H28</f>
        <v>0</v>
      </c>
      <c r="H49" s="338">
        <f>Headcount!I28</f>
        <v>0</v>
      </c>
      <c r="I49" s="338">
        <f>Headcount!J28</f>
        <v>0</v>
      </c>
      <c r="J49" s="338">
        <f>Headcount!K28</f>
        <v>0</v>
      </c>
      <c r="K49" s="338">
        <f>Headcount!L28</f>
        <v>0</v>
      </c>
      <c r="L49" s="338">
        <f>Headcount!M28</f>
        <v>0</v>
      </c>
      <c r="M49" s="339">
        <f>Headcount!N28</f>
        <v>0</v>
      </c>
      <c r="N49" s="30"/>
    </row>
    <row r="50" ht="18"/>
    <row r="51" spans="2:13" ht="18">
      <c r="B51" s="626">
        <v>13</v>
      </c>
      <c r="C51" s="626">
        <f>+B51+1</f>
        <v>14</v>
      </c>
      <c r="D51" s="626">
        <f aca="true" t="shared" si="0" ref="D51:M51">+C51+1</f>
        <v>15</v>
      </c>
      <c r="E51" s="626">
        <f t="shared" si="0"/>
        <v>16</v>
      </c>
      <c r="F51" s="626">
        <f t="shared" si="0"/>
        <v>17</v>
      </c>
      <c r="G51" s="626">
        <f t="shared" si="0"/>
        <v>18</v>
      </c>
      <c r="H51" s="626">
        <f t="shared" si="0"/>
        <v>19</v>
      </c>
      <c r="I51" s="626">
        <f t="shared" si="0"/>
        <v>20</v>
      </c>
      <c r="J51" s="626">
        <f t="shared" si="0"/>
        <v>21</v>
      </c>
      <c r="K51" s="626">
        <f t="shared" si="0"/>
        <v>22</v>
      </c>
      <c r="L51" s="626">
        <f t="shared" si="0"/>
        <v>23</v>
      </c>
      <c r="M51" s="626">
        <f t="shared" si="0"/>
        <v>24</v>
      </c>
    </row>
    <row r="52" spans="1:13" ht="16.5" customHeight="1">
      <c r="A52" s="492">
        <f>Headcount!$P$3</f>
        <v>2023</v>
      </c>
      <c r="B52" s="337">
        <f>Headcount!R28</f>
        <v>0</v>
      </c>
      <c r="C52" s="338">
        <f>Headcount!S28</f>
        <v>0</v>
      </c>
      <c r="D52" s="338">
        <f>Headcount!T28</f>
        <v>0</v>
      </c>
      <c r="E52" s="338">
        <f>Headcount!U28</f>
        <v>0</v>
      </c>
      <c r="F52" s="338">
        <f>Headcount!V28</f>
        <v>0</v>
      </c>
      <c r="G52" s="338">
        <f>Headcount!W28</f>
        <v>0</v>
      </c>
      <c r="H52" s="338">
        <f>Headcount!X28</f>
        <v>0</v>
      </c>
      <c r="I52" s="338">
        <f>Headcount!Y28</f>
        <v>0</v>
      </c>
      <c r="J52" s="338">
        <f>Headcount!Z28</f>
        <v>0</v>
      </c>
      <c r="K52" s="338">
        <f>Headcount!AA28</f>
        <v>0</v>
      </c>
      <c r="L52" s="338">
        <f>Headcount!AB28</f>
        <v>0</v>
      </c>
      <c r="M52" s="339">
        <f>Headcount!AC28</f>
        <v>0</v>
      </c>
    </row>
    <row r="53" spans="1:14" ht="18">
      <c r="A53" s="30"/>
      <c r="B53" s="30"/>
      <c r="C53" s="30"/>
      <c r="D53" s="30"/>
      <c r="E53" s="30"/>
      <c r="F53" s="30"/>
      <c r="G53" s="30"/>
      <c r="H53" s="30"/>
      <c r="I53" s="30"/>
      <c r="J53" s="30"/>
      <c r="K53" s="30"/>
      <c r="L53" s="30"/>
      <c r="M53" s="30"/>
      <c r="N53" s="30"/>
    </row>
    <row r="54" spans="1:14" ht="18">
      <c r="A54" s="30"/>
      <c r="B54" s="30"/>
      <c r="C54" s="30"/>
      <c r="D54" s="30"/>
      <c r="E54" s="30"/>
      <c r="F54" s="30"/>
      <c r="G54" s="30"/>
      <c r="H54" s="30"/>
      <c r="I54" s="30"/>
      <c r="J54" s="30"/>
      <c r="K54" s="30"/>
      <c r="L54" s="30"/>
      <c r="M54" s="30"/>
      <c r="N54" s="30"/>
    </row>
    <row r="55" spans="1:14" ht="18">
      <c r="A55" s="30"/>
      <c r="B55" s="30"/>
      <c r="C55" s="30"/>
      <c r="D55" s="30"/>
      <c r="E55" s="30"/>
      <c r="F55" s="30"/>
      <c r="G55" s="30"/>
      <c r="H55" s="30"/>
      <c r="I55" s="30"/>
      <c r="J55" s="30"/>
      <c r="K55" s="30"/>
      <c r="L55" s="30"/>
      <c r="M55" s="30"/>
      <c r="N55" s="30"/>
    </row>
    <row r="56" spans="1:14" ht="18">
      <c r="A56" s="30"/>
      <c r="B56" s="30"/>
      <c r="C56" s="30"/>
      <c r="D56" s="30"/>
      <c r="E56" s="30"/>
      <c r="F56" s="30"/>
      <c r="G56" s="30"/>
      <c r="H56" s="30"/>
      <c r="I56" s="30"/>
      <c r="J56" s="30"/>
      <c r="K56" s="30"/>
      <c r="L56" s="30"/>
      <c r="M56" s="30"/>
      <c r="N56" s="30"/>
    </row>
    <row r="57" spans="1:14" ht="18">
      <c r="A57" s="30"/>
      <c r="B57" s="30"/>
      <c r="C57" s="30"/>
      <c r="D57" s="30"/>
      <c r="E57" s="30"/>
      <c r="F57" s="30"/>
      <c r="G57" s="30"/>
      <c r="H57" s="30"/>
      <c r="I57" s="30"/>
      <c r="J57" s="30"/>
      <c r="K57" s="30"/>
      <c r="L57" s="30"/>
      <c r="M57" s="30"/>
      <c r="N57" s="30"/>
    </row>
    <row r="58" spans="1:14" ht="18">
      <c r="A58" s="30"/>
      <c r="B58" s="30"/>
      <c r="C58" s="30"/>
      <c r="D58" s="30"/>
      <c r="E58" s="30"/>
      <c r="F58" s="30"/>
      <c r="G58" s="30"/>
      <c r="H58" s="30"/>
      <c r="I58" s="30"/>
      <c r="J58" s="30"/>
      <c r="K58" s="30"/>
      <c r="L58" s="30"/>
      <c r="M58" s="30"/>
      <c r="N58" s="30"/>
    </row>
    <row r="59" ht="18"/>
    <row r="60" ht="18"/>
    <row r="61" ht="18"/>
    <row r="62" ht="18"/>
    <row r="63" ht="18"/>
    <row r="64" ht="18"/>
    <row r="65" ht="18"/>
    <row r="66" ht="18"/>
    <row r="67" ht="18"/>
    <row r="68" ht="18"/>
    <row r="69" ht="18"/>
    <row r="70" ht="18"/>
    <row r="71" ht="18"/>
    <row r="72" ht="18"/>
    <row r="73" ht="18"/>
    <row r="74" ht="18"/>
    <row r="75" ht="18"/>
    <row r="76" spans="1:14" ht="18">
      <c r="A76" s="30" t="str">
        <f>+A$41</f>
        <v>MyCo</v>
      </c>
      <c r="B76" s="30"/>
      <c r="C76" s="30"/>
      <c r="D76" s="30"/>
      <c r="E76" s="30"/>
      <c r="F76" s="30"/>
      <c r="G76" s="30"/>
      <c r="H76" s="30"/>
      <c r="I76" s="30"/>
      <c r="J76" s="30"/>
      <c r="K76" s="30"/>
      <c r="L76" s="30"/>
      <c r="M76" s="30"/>
      <c r="N76" s="318" t="str">
        <f>Cover!$A$17</f>
        <v>Draft 1.0</v>
      </c>
    </row>
    <row r="77" spans="1:14" ht="23.25">
      <c r="A77" s="317" t="s">
        <v>260</v>
      </c>
      <c r="B77" s="30"/>
      <c r="C77" s="30"/>
      <c r="D77" s="30"/>
      <c r="E77" s="30"/>
      <c r="F77" s="30"/>
      <c r="G77" s="30"/>
      <c r="H77" s="30"/>
      <c r="I77" s="30"/>
      <c r="J77" s="30"/>
      <c r="K77" s="30"/>
      <c r="L77" s="30"/>
      <c r="M77" s="30"/>
      <c r="N77" s="30"/>
    </row>
    <row r="78" spans="1:14" ht="18">
      <c r="A78" s="305"/>
      <c r="B78" s="313"/>
      <c r="C78" s="313"/>
      <c r="D78" s="313"/>
      <c r="E78" s="313"/>
      <c r="F78" s="313"/>
      <c r="G78" s="313"/>
      <c r="H78" s="313"/>
      <c r="I78" s="313"/>
      <c r="J78" s="313"/>
      <c r="K78" s="313"/>
      <c r="L78" s="313"/>
      <c r="M78" s="313"/>
      <c r="N78" s="313"/>
    </row>
    <row r="79" spans="1:14" ht="18">
      <c r="A79" s="30"/>
      <c r="B79" s="336" t="str">
        <f>+B$47</f>
        <v>Jan</v>
      </c>
      <c r="C79" s="336" t="str">
        <f aca="true" t="shared" si="1" ref="C79:M79">+C$47</f>
        <v>Feb</v>
      </c>
      <c r="D79" s="336" t="str">
        <f t="shared" si="1"/>
        <v>Mar</v>
      </c>
      <c r="E79" s="336" t="str">
        <f t="shared" si="1"/>
        <v>Apr</v>
      </c>
      <c r="F79" s="336" t="str">
        <f t="shared" si="1"/>
        <v>May</v>
      </c>
      <c r="G79" s="336" t="str">
        <f t="shared" si="1"/>
        <v>Jun</v>
      </c>
      <c r="H79" s="336" t="str">
        <f t="shared" si="1"/>
        <v>Jul</v>
      </c>
      <c r="I79" s="336" t="str">
        <f t="shared" si="1"/>
        <v>Aug</v>
      </c>
      <c r="J79" s="336" t="str">
        <f t="shared" si="1"/>
        <v>Sep</v>
      </c>
      <c r="K79" s="336" t="str">
        <f t="shared" si="1"/>
        <v>Oct</v>
      </c>
      <c r="L79" s="336" t="str">
        <f t="shared" si="1"/>
        <v>Nov</v>
      </c>
      <c r="M79" s="336" t="str">
        <f t="shared" si="1"/>
        <v>Dec</v>
      </c>
      <c r="N79" s="314" t="s">
        <v>1</v>
      </c>
    </row>
    <row r="80" spans="1:15" ht="18">
      <c r="A80" s="328" t="s">
        <v>246</v>
      </c>
      <c r="B80" s="30"/>
      <c r="C80" s="30"/>
      <c r="D80" s="30"/>
      <c r="E80" s="30"/>
      <c r="F80" s="30"/>
      <c r="G80" s="30"/>
      <c r="H80" s="30"/>
      <c r="I80" s="30"/>
      <c r="J80" s="30"/>
      <c r="K80" s="30"/>
      <c r="L80" s="30"/>
      <c r="M80" s="30"/>
      <c r="N80" s="30"/>
      <c r="O80" s="30"/>
    </row>
    <row r="81" spans="1:15" ht="18">
      <c r="A81" s="166">
        <f>Headcount!$A$3</f>
        <v>2022</v>
      </c>
      <c r="B81" s="325">
        <f aca="true" t="shared" si="2" ref="B81:M81">+B49</f>
        <v>0</v>
      </c>
      <c r="C81" s="326">
        <f t="shared" si="2"/>
        <v>0</v>
      </c>
      <c r="D81" s="326">
        <f t="shared" si="2"/>
        <v>0</v>
      </c>
      <c r="E81" s="326">
        <f t="shared" si="2"/>
        <v>0</v>
      </c>
      <c r="F81" s="326">
        <f t="shared" si="2"/>
        <v>0</v>
      </c>
      <c r="G81" s="326">
        <f t="shared" si="2"/>
        <v>0</v>
      </c>
      <c r="H81" s="326">
        <f t="shared" si="2"/>
        <v>0</v>
      </c>
      <c r="I81" s="326">
        <f t="shared" si="2"/>
        <v>0</v>
      </c>
      <c r="J81" s="326">
        <f t="shared" si="2"/>
        <v>0</v>
      </c>
      <c r="K81" s="326">
        <f t="shared" si="2"/>
        <v>0</v>
      </c>
      <c r="L81" s="326">
        <f t="shared" si="2"/>
        <v>0</v>
      </c>
      <c r="M81" s="327">
        <f t="shared" si="2"/>
        <v>0</v>
      </c>
      <c r="N81" s="315">
        <f>+M81</f>
        <v>0</v>
      </c>
      <c r="O81" s="30"/>
    </row>
    <row r="82" spans="1:15" ht="18">
      <c r="A82" s="166">
        <f>Headcount!$P$3</f>
        <v>2023</v>
      </c>
      <c r="B82" s="325">
        <f aca="true" t="shared" si="3" ref="B82:M82">+B52</f>
        <v>0</v>
      </c>
      <c r="C82" s="326">
        <f t="shared" si="3"/>
        <v>0</v>
      </c>
      <c r="D82" s="326">
        <f t="shared" si="3"/>
        <v>0</v>
      </c>
      <c r="E82" s="326">
        <f t="shared" si="3"/>
        <v>0</v>
      </c>
      <c r="F82" s="326">
        <f t="shared" si="3"/>
        <v>0</v>
      </c>
      <c r="G82" s="326">
        <f t="shared" si="3"/>
        <v>0</v>
      </c>
      <c r="H82" s="326">
        <f t="shared" si="3"/>
        <v>0</v>
      </c>
      <c r="I82" s="326">
        <f t="shared" si="3"/>
        <v>0</v>
      </c>
      <c r="J82" s="326">
        <f t="shared" si="3"/>
        <v>0</v>
      </c>
      <c r="K82" s="326">
        <f t="shared" si="3"/>
        <v>0</v>
      </c>
      <c r="L82" s="326">
        <f t="shared" si="3"/>
        <v>0</v>
      </c>
      <c r="M82" s="327">
        <f t="shared" si="3"/>
        <v>0</v>
      </c>
      <c r="N82" s="315">
        <f>+M82</f>
        <v>0</v>
      </c>
      <c r="O82" s="30"/>
    </row>
    <row r="83" ht="18">
      <c r="A83" s="30"/>
    </row>
    <row r="84" ht="18">
      <c r="A84" s="30"/>
    </row>
    <row r="85" ht="18"/>
    <row r="86" ht="18">
      <c r="A86" s="624">
        <f>A81</f>
        <v>2022</v>
      </c>
    </row>
    <row r="87" spans="1:13" ht="18">
      <c r="A87" s="321" t="s">
        <v>247</v>
      </c>
      <c r="B87" s="298" t="s">
        <v>263</v>
      </c>
      <c r="C87" s="299"/>
      <c r="D87" s="299"/>
      <c r="E87" s="299"/>
      <c r="F87" s="299"/>
      <c r="G87" s="299"/>
      <c r="H87" s="299"/>
      <c r="I87" s="299"/>
      <c r="J87" s="299"/>
      <c r="K87" s="299"/>
      <c r="L87" s="299"/>
      <c r="M87" s="300"/>
    </row>
    <row r="88" spans="1:13" ht="18">
      <c r="A88" s="316"/>
      <c r="B88" s="30"/>
      <c r="C88" s="30"/>
      <c r="D88" s="30"/>
      <c r="E88" s="30"/>
      <c r="F88" s="30"/>
      <c r="G88" s="30"/>
      <c r="H88" s="30"/>
      <c r="I88" s="30"/>
      <c r="J88" s="30"/>
      <c r="K88" s="30"/>
      <c r="L88" s="30"/>
      <c r="M88" s="329"/>
    </row>
    <row r="89" spans="1:13" ht="18">
      <c r="A89" s="340">
        <v>125</v>
      </c>
      <c r="B89" s="319">
        <f aca="true" t="shared" si="4" ref="B89:M89">+B81*$A89</f>
        <v>0</v>
      </c>
      <c r="C89" s="319">
        <f t="shared" si="4"/>
        <v>0</v>
      </c>
      <c r="D89" s="319">
        <f t="shared" si="4"/>
        <v>0</v>
      </c>
      <c r="E89" s="319">
        <f t="shared" si="4"/>
        <v>0</v>
      </c>
      <c r="F89" s="319">
        <f t="shared" si="4"/>
        <v>0</v>
      </c>
      <c r="G89" s="319">
        <f t="shared" si="4"/>
        <v>0</v>
      </c>
      <c r="H89" s="319">
        <f t="shared" si="4"/>
        <v>0</v>
      </c>
      <c r="I89" s="319">
        <f t="shared" si="4"/>
        <v>0</v>
      </c>
      <c r="J89" s="319">
        <f t="shared" si="4"/>
        <v>0</v>
      </c>
      <c r="K89" s="319">
        <f t="shared" si="4"/>
        <v>0</v>
      </c>
      <c r="L89" s="319">
        <f t="shared" si="4"/>
        <v>0</v>
      </c>
      <c r="M89" s="324">
        <f t="shared" si="4"/>
        <v>0</v>
      </c>
    </row>
    <row r="90" spans="1:13" ht="18">
      <c r="A90" s="340"/>
      <c r="B90" s="319"/>
      <c r="C90" s="319"/>
      <c r="D90" s="319"/>
      <c r="E90" s="319"/>
      <c r="F90" s="319"/>
      <c r="G90" s="319"/>
      <c r="H90" s="319"/>
      <c r="I90" s="319"/>
      <c r="J90" s="319"/>
      <c r="K90" s="319"/>
      <c r="L90" s="319"/>
      <c r="M90" s="324"/>
    </row>
    <row r="91" spans="1:13" ht="18">
      <c r="A91" s="340">
        <v>150</v>
      </c>
      <c r="B91" s="319">
        <f aca="true" t="shared" si="5" ref="B91:M91">+B81*$A91</f>
        <v>0</v>
      </c>
      <c r="C91" s="319">
        <f t="shared" si="5"/>
        <v>0</v>
      </c>
      <c r="D91" s="319">
        <f t="shared" si="5"/>
        <v>0</v>
      </c>
      <c r="E91" s="319">
        <f t="shared" si="5"/>
        <v>0</v>
      </c>
      <c r="F91" s="319">
        <f t="shared" si="5"/>
        <v>0</v>
      </c>
      <c r="G91" s="319">
        <f t="shared" si="5"/>
        <v>0</v>
      </c>
      <c r="H91" s="319">
        <f t="shared" si="5"/>
        <v>0</v>
      </c>
      <c r="I91" s="319">
        <f t="shared" si="5"/>
        <v>0</v>
      </c>
      <c r="J91" s="319">
        <f t="shared" si="5"/>
        <v>0</v>
      </c>
      <c r="K91" s="319">
        <f t="shared" si="5"/>
        <v>0</v>
      </c>
      <c r="L91" s="319">
        <f t="shared" si="5"/>
        <v>0</v>
      </c>
      <c r="M91" s="324">
        <f t="shared" si="5"/>
        <v>0</v>
      </c>
    </row>
    <row r="92" spans="1:13" ht="18">
      <c r="A92" s="340"/>
      <c r="B92" s="30"/>
      <c r="C92" s="30"/>
      <c r="D92" s="30"/>
      <c r="E92" s="30"/>
      <c r="F92" s="30"/>
      <c r="G92" s="30"/>
      <c r="H92" s="30"/>
      <c r="I92" s="30"/>
      <c r="J92" s="30"/>
      <c r="K92" s="30"/>
      <c r="L92" s="30"/>
      <c r="M92" s="329"/>
    </row>
    <row r="93" spans="1:13" ht="18">
      <c r="A93" s="340">
        <v>175</v>
      </c>
      <c r="B93" s="319">
        <f aca="true" t="shared" si="6" ref="B93:M93">+B81*$A93</f>
        <v>0</v>
      </c>
      <c r="C93" s="319">
        <f t="shared" si="6"/>
        <v>0</v>
      </c>
      <c r="D93" s="319">
        <f t="shared" si="6"/>
        <v>0</v>
      </c>
      <c r="E93" s="319">
        <f t="shared" si="6"/>
        <v>0</v>
      </c>
      <c r="F93" s="319">
        <f t="shared" si="6"/>
        <v>0</v>
      </c>
      <c r="G93" s="319">
        <f t="shared" si="6"/>
        <v>0</v>
      </c>
      <c r="H93" s="319">
        <f t="shared" si="6"/>
        <v>0</v>
      </c>
      <c r="I93" s="319">
        <f t="shared" si="6"/>
        <v>0</v>
      </c>
      <c r="J93" s="319">
        <f t="shared" si="6"/>
        <v>0</v>
      </c>
      <c r="K93" s="319">
        <f t="shared" si="6"/>
        <v>0</v>
      </c>
      <c r="L93" s="319">
        <f t="shared" si="6"/>
        <v>0</v>
      </c>
      <c r="M93" s="324">
        <f t="shared" si="6"/>
        <v>0</v>
      </c>
    </row>
    <row r="94" spans="1:13" ht="18">
      <c r="A94" s="340"/>
      <c r="B94" s="319"/>
      <c r="C94" s="319"/>
      <c r="D94" s="319"/>
      <c r="E94" s="319"/>
      <c r="F94" s="319"/>
      <c r="G94" s="319"/>
      <c r="H94" s="319"/>
      <c r="I94" s="319"/>
      <c r="J94" s="319"/>
      <c r="K94" s="319"/>
      <c r="L94" s="319"/>
      <c r="M94" s="324"/>
    </row>
    <row r="95" spans="1:13" ht="18">
      <c r="A95" s="340">
        <v>200</v>
      </c>
      <c r="B95" s="319">
        <f aca="true" t="shared" si="7" ref="B95:M95">+B81*$A95</f>
        <v>0</v>
      </c>
      <c r="C95" s="319">
        <f t="shared" si="7"/>
        <v>0</v>
      </c>
      <c r="D95" s="319">
        <f t="shared" si="7"/>
        <v>0</v>
      </c>
      <c r="E95" s="319">
        <f t="shared" si="7"/>
        <v>0</v>
      </c>
      <c r="F95" s="319">
        <f t="shared" si="7"/>
        <v>0</v>
      </c>
      <c r="G95" s="319">
        <f t="shared" si="7"/>
        <v>0</v>
      </c>
      <c r="H95" s="319">
        <f t="shared" si="7"/>
        <v>0</v>
      </c>
      <c r="I95" s="319">
        <f t="shared" si="7"/>
        <v>0</v>
      </c>
      <c r="J95" s="319">
        <f t="shared" si="7"/>
        <v>0</v>
      </c>
      <c r="K95" s="319">
        <f t="shared" si="7"/>
        <v>0</v>
      </c>
      <c r="L95" s="319">
        <f t="shared" si="7"/>
        <v>0</v>
      </c>
      <c r="M95" s="324">
        <f t="shared" si="7"/>
        <v>0</v>
      </c>
    </row>
    <row r="96" spans="1:13" ht="18">
      <c r="A96" s="340"/>
      <c r="B96" s="30"/>
      <c r="C96" s="30"/>
      <c r="D96" s="30"/>
      <c r="E96" s="30"/>
      <c r="F96" s="30"/>
      <c r="G96" s="30"/>
      <c r="H96" s="30"/>
      <c r="I96" s="30"/>
      <c r="J96" s="30"/>
      <c r="K96" s="30"/>
      <c r="L96" s="30"/>
      <c r="M96" s="329"/>
    </row>
    <row r="97" spans="1:13" ht="18">
      <c r="A97" s="341">
        <v>250</v>
      </c>
      <c r="B97" s="310">
        <f aca="true" t="shared" si="8" ref="B97:M97">+B81*$A97</f>
        <v>0</v>
      </c>
      <c r="C97" s="310">
        <f t="shared" si="8"/>
        <v>0</v>
      </c>
      <c r="D97" s="310">
        <f t="shared" si="8"/>
        <v>0</v>
      </c>
      <c r="E97" s="310">
        <f t="shared" si="8"/>
        <v>0</v>
      </c>
      <c r="F97" s="310">
        <f t="shared" si="8"/>
        <v>0</v>
      </c>
      <c r="G97" s="310">
        <f t="shared" si="8"/>
        <v>0</v>
      </c>
      <c r="H97" s="310">
        <f t="shared" si="8"/>
        <v>0</v>
      </c>
      <c r="I97" s="310">
        <f t="shared" si="8"/>
        <v>0</v>
      </c>
      <c r="J97" s="310">
        <f t="shared" si="8"/>
        <v>0</v>
      </c>
      <c r="K97" s="310">
        <f t="shared" si="8"/>
        <v>0</v>
      </c>
      <c r="L97" s="310">
        <f t="shared" si="8"/>
        <v>0</v>
      </c>
      <c r="M97" s="311">
        <f t="shared" si="8"/>
        <v>0</v>
      </c>
    </row>
    <row r="98" spans="1:13" ht="18">
      <c r="A98" s="303"/>
      <c r="B98" s="302"/>
      <c r="C98" s="302"/>
      <c r="D98" s="302"/>
      <c r="E98" s="302"/>
      <c r="F98" s="302"/>
      <c r="G98" s="302"/>
      <c r="H98" s="302"/>
      <c r="I98" s="302"/>
      <c r="J98" s="302"/>
      <c r="K98" s="302"/>
      <c r="L98" s="302"/>
      <c r="M98" s="302"/>
    </row>
    <row r="99" spans="1:13" ht="18">
      <c r="A99" s="303"/>
      <c r="B99" s="302"/>
      <c r="C99" s="302"/>
      <c r="D99" s="302"/>
      <c r="E99" s="302"/>
      <c r="F99" s="302"/>
      <c r="G99" s="302"/>
      <c r="H99" s="302"/>
      <c r="I99" s="302"/>
      <c r="J99" s="302"/>
      <c r="K99" s="302"/>
      <c r="L99" s="302"/>
      <c r="M99" s="302"/>
    </row>
    <row r="100" spans="1:13" ht="18">
      <c r="A100" s="303"/>
      <c r="B100" s="302"/>
      <c r="C100" s="302"/>
      <c r="D100" s="302"/>
      <c r="E100" s="302"/>
      <c r="F100" s="302"/>
      <c r="G100" s="302"/>
      <c r="H100" s="302"/>
      <c r="I100" s="302"/>
      <c r="J100" s="302"/>
      <c r="K100" s="302"/>
      <c r="L100" s="302"/>
      <c r="M100" s="302"/>
    </row>
    <row r="101" ht="18"/>
    <row r="102" ht="18">
      <c r="A102" s="624">
        <f>A82</f>
        <v>2023</v>
      </c>
    </row>
    <row r="103" spans="1:13" ht="18">
      <c r="A103" s="321" t="s">
        <v>247</v>
      </c>
      <c r="B103" s="298" t="s">
        <v>263</v>
      </c>
      <c r="C103" s="299"/>
      <c r="D103" s="299"/>
      <c r="E103" s="299"/>
      <c r="F103" s="299"/>
      <c r="G103" s="299"/>
      <c r="H103" s="299"/>
      <c r="I103" s="299"/>
      <c r="J103" s="299"/>
      <c r="K103" s="299"/>
      <c r="L103" s="299"/>
      <c r="M103" s="300"/>
    </row>
    <row r="104" spans="1:13" ht="18">
      <c r="A104" s="316"/>
      <c r="B104" s="30"/>
      <c r="C104" s="30"/>
      <c r="D104" s="30"/>
      <c r="E104" s="30"/>
      <c r="F104" s="30"/>
      <c r="G104" s="30"/>
      <c r="H104" s="30"/>
      <c r="I104" s="30"/>
      <c r="J104" s="30"/>
      <c r="K104" s="30"/>
      <c r="L104" s="30"/>
      <c r="M104" s="329"/>
    </row>
    <row r="105" spans="1:13" ht="18">
      <c r="A105" s="340">
        <v>125</v>
      </c>
      <c r="B105" s="306">
        <f aca="true" t="shared" si="9" ref="B105:M105">+B82*$A105</f>
        <v>0</v>
      </c>
      <c r="C105" s="307">
        <f t="shared" si="9"/>
        <v>0</v>
      </c>
      <c r="D105" s="307">
        <f t="shared" si="9"/>
        <v>0</v>
      </c>
      <c r="E105" s="307">
        <f t="shared" si="9"/>
        <v>0</v>
      </c>
      <c r="F105" s="307">
        <f t="shared" si="9"/>
        <v>0</v>
      </c>
      <c r="G105" s="307">
        <f t="shared" si="9"/>
        <v>0</v>
      </c>
      <c r="H105" s="307">
        <f t="shared" si="9"/>
        <v>0</v>
      </c>
      <c r="I105" s="307">
        <f t="shared" si="9"/>
        <v>0</v>
      </c>
      <c r="J105" s="307">
        <f t="shared" si="9"/>
        <v>0</v>
      </c>
      <c r="K105" s="307">
        <f t="shared" si="9"/>
        <v>0</v>
      </c>
      <c r="L105" s="307">
        <f t="shared" si="9"/>
        <v>0</v>
      </c>
      <c r="M105" s="308">
        <f t="shared" si="9"/>
        <v>0</v>
      </c>
    </row>
    <row r="106" spans="1:13" ht="18">
      <c r="A106" s="340"/>
      <c r="B106" s="323"/>
      <c r="C106" s="319"/>
      <c r="D106" s="319"/>
      <c r="E106" s="319"/>
      <c r="F106" s="319"/>
      <c r="G106" s="319"/>
      <c r="H106" s="319"/>
      <c r="I106" s="319"/>
      <c r="J106" s="319"/>
      <c r="K106" s="319"/>
      <c r="L106" s="319"/>
      <c r="M106" s="324"/>
    </row>
    <row r="107" spans="1:13" ht="18">
      <c r="A107" s="340">
        <v>150</v>
      </c>
      <c r="B107" s="323">
        <f aca="true" t="shared" si="10" ref="B107:M107">+B82*$A107</f>
        <v>0</v>
      </c>
      <c r="C107" s="319">
        <f t="shared" si="10"/>
        <v>0</v>
      </c>
      <c r="D107" s="319">
        <f t="shared" si="10"/>
        <v>0</v>
      </c>
      <c r="E107" s="319">
        <f t="shared" si="10"/>
        <v>0</v>
      </c>
      <c r="F107" s="319">
        <f t="shared" si="10"/>
        <v>0</v>
      </c>
      <c r="G107" s="319">
        <f t="shared" si="10"/>
        <v>0</v>
      </c>
      <c r="H107" s="319">
        <f t="shared" si="10"/>
        <v>0</v>
      </c>
      <c r="I107" s="319">
        <f t="shared" si="10"/>
        <v>0</v>
      </c>
      <c r="J107" s="319">
        <f t="shared" si="10"/>
        <v>0</v>
      </c>
      <c r="K107" s="319">
        <f t="shared" si="10"/>
        <v>0</v>
      </c>
      <c r="L107" s="319">
        <f t="shared" si="10"/>
        <v>0</v>
      </c>
      <c r="M107" s="324">
        <f t="shared" si="10"/>
        <v>0</v>
      </c>
    </row>
    <row r="108" spans="1:13" ht="18">
      <c r="A108" s="340"/>
      <c r="B108" s="330"/>
      <c r="C108" s="30"/>
      <c r="D108" s="30"/>
      <c r="E108" s="30"/>
      <c r="F108" s="30"/>
      <c r="G108" s="30"/>
      <c r="H108" s="30"/>
      <c r="I108" s="30"/>
      <c r="J108" s="30"/>
      <c r="K108" s="30"/>
      <c r="L108" s="30"/>
      <c r="M108" s="329"/>
    </row>
    <row r="109" spans="1:13" ht="18">
      <c r="A109" s="340">
        <v>175</v>
      </c>
      <c r="B109" s="323">
        <f aca="true" t="shared" si="11" ref="B109:M109">+B82*$A109</f>
        <v>0</v>
      </c>
      <c r="C109" s="319">
        <f t="shared" si="11"/>
        <v>0</v>
      </c>
      <c r="D109" s="319">
        <f t="shared" si="11"/>
        <v>0</v>
      </c>
      <c r="E109" s="319">
        <f t="shared" si="11"/>
        <v>0</v>
      </c>
      <c r="F109" s="319">
        <f t="shared" si="11"/>
        <v>0</v>
      </c>
      <c r="G109" s="319">
        <f t="shared" si="11"/>
        <v>0</v>
      </c>
      <c r="H109" s="319">
        <f t="shared" si="11"/>
        <v>0</v>
      </c>
      <c r="I109" s="319">
        <f t="shared" si="11"/>
        <v>0</v>
      </c>
      <c r="J109" s="319">
        <f t="shared" si="11"/>
        <v>0</v>
      </c>
      <c r="K109" s="319">
        <f t="shared" si="11"/>
        <v>0</v>
      </c>
      <c r="L109" s="319">
        <f t="shared" si="11"/>
        <v>0</v>
      </c>
      <c r="M109" s="324">
        <f t="shared" si="11"/>
        <v>0</v>
      </c>
    </row>
    <row r="110" spans="1:13" ht="18">
      <c r="A110" s="340"/>
      <c r="B110" s="323"/>
      <c r="C110" s="319"/>
      <c r="D110" s="319"/>
      <c r="E110" s="319"/>
      <c r="F110" s="319"/>
      <c r="G110" s="319"/>
      <c r="H110" s="319"/>
      <c r="I110" s="319"/>
      <c r="J110" s="319"/>
      <c r="K110" s="319"/>
      <c r="L110" s="319"/>
      <c r="M110" s="324"/>
    </row>
    <row r="111" spans="1:13" ht="18">
      <c r="A111" s="340">
        <v>200</v>
      </c>
      <c r="B111" s="323">
        <f aca="true" t="shared" si="12" ref="B111:M111">+B82*$A111</f>
        <v>0</v>
      </c>
      <c r="C111" s="319">
        <f t="shared" si="12"/>
        <v>0</v>
      </c>
      <c r="D111" s="319">
        <f t="shared" si="12"/>
        <v>0</v>
      </c>
      <c r="E111" s="319">
        <f t="shared" si="12"/>
        <v>0</v>
      </c>
      <c r="F111" s="319">
        <f t="shared" si="12"/>
        <v>0</v>
      </c>
      <c r="G111" s="319">
        <f t="shared" si="12"/>
        <v>0</v>
      </c>
      <c r="H111" s="319">
        <f t="shared" si="12"/>
        <v>0</v>
      </c>
      <c r="I111" s="319">
        <f t="shared" si="12"/>
        <v>0</v>
      </c>
      <c r="J111" s="319">
        <f t="shared" si="12"/>
        <v>0</v>
      </c>
      <c r="K111" s="319">
        <f t="shared" si="12"/>
        <v>0</v>
      </c>
      <c r="L111" s="319">
        <f t="shared" si="12"/>
        <v>0</v>
      </c>
      <c r="M111" s="324">
        <f t="shared" si="12"/>
        <v>0</v>
      </c>
    </row>
    <row r="112" spans="1:13" ht="18">
      <c r="A112" s="340"/>
      <c r="B112" s="330"/>
      <c r="C112" s="30"/>
      <c r="D112" s="30"/>
      <c r="E112" s="30"/>
      <c r="F112" s="30"/>
      <c r="G112" s="30"/>
      <c r="H112" s="30"/>
      <c r="I112" s="30"/>
      <c r="J112" s="30"/>
      <c r="K112" s="30"/>
      <c r="L112" s="30"/>
      <c r="M112" s="329"/>
    </row>
    <row r="113" spans="1:13" ht="18">
      <c r="A113" s="341">
        <v>225</v>
      </c>
      <c r="B113" s="309">
        <f aca="true" t="shared" si="13" ref="B113:M113">+B82*$A113</f>
        <v>0</v>
      </c>
      <c r="C113" s="310">
        <f t="shared" si="13"/>
        <v>0</v>
      </c>
      <c r="D113" s="310">
        <f t="shared" si="13"/>
        <v>0</v>
      </c>
      <c r="E113" s="310">
        <f t="shared" si="13"/>
        <v>0</v>
      </c>
      <c r="F113" s="310">
        <f t="shared" si="13"/>
        <v>0</v>
      </c>
      <c r="G113" s="310">
        <f t="shared" si="13"/>
        <v>0</v>
      </c>
      <c r="H113" s="310">
        <f t="shared" si="13"/>
        <v>0</v>
      </c>
      <c r="I113" s="310">
        <f t="shared" si="13"/>
        <v>0</v>
      </c>
      <c r="J113" s="310">
        <f t="shared" si="13"/>
        <v>0</v>
      </c>
      <c r="K113" s="310">
        <f t="shared" si="13"/>
        <v>0</v>
      </c>
      <c r="L113" s="310">
        <f t="shared" si="13"/>
        <v>0</v>
      </c>
      <c r="M113" s="311">
        <f t="shared" si="13"/>
        <v>0</v>
      </c>
    </row>
    <row r="114" spans="1:13" ht="18">
      <c r="A114" s="303"/>
      <c r="B114" s="302"/>
      <c r="C114" s="302"/>
      <c r="D114" s="302"/>
      <c r="E114" s="302"/>
      <c r="F114" s="302"/>
      <c r="G114" s="302"/>
      <c r="H114" s="302"/>
      <c r="I114" s="302"/>
      <c r="J114" s="302"/>
      <c r="K114" s="302"/>
      <c r="L114" s="302"/>
      <c r="M114" s="302"/>
    </row>
    <row r="115" ht="18">
      <c r="A115" s="18" t="s">
        <v>248</v>
      </c>
    </row>
    <row r="116" s="30" customFormat="1" ht="18"/>
    <row r="117" spans="1:14" s="30" customFormat="1" ht="18">
      <c r="A117" s="30" t="str">
        <f>+A$41</f>
        <v>MyCo</v>
      </c>
      <c r="N117" s="318" t="str">
        <f>Cover!$A$17</f>
        <v>Draft 1.0</v>
      </c>
    </row>
    <row r="118" spans="1:14" ht="23.25">
      <c r="A118" s="317" t="s">
        <v>259</v>
      </c>
      <c r="B118" s="30"/>
      <c r="C118" s="30"/>
      <c r="D118" s="30"/>
      <c r="E118" s="30"/>
      <c r="F118" s="30"/>
      <c r="G118" s="30"/>
      <c r="H118" s="30"/>
      <c r="I118" s="30"/>
      <c r="J118" s="30"/>
      <c r="K118" s="30"/>
      <c r="L118" s="30"/>
      <c r="M118" s="30"/>
      <c r="N118" s="30"/>
    </row>
    <row r="119" spans="1:14" ht="18">
      <c r="A119" s="654">
        <f>Headcount!$A$3</f>
        <v>2022</v>
      </c>
      <c r="B119" s="30"/>
      <c r="C119" s="30"/>
      <c r="D119" s="30"/>
      <c r="E119" s="30"/>
      <c r="F119" s="30"/>
      <c r="G119" s="30"/>
      <c r="H119" s="30"/>
      <c r="I119" s="30"/>
      <c r="J119" s="30"/>
      <c r="K119" s="30"/>
      <c r="L119" s="30"/>
      <c r="M119" s="30"/>
      <c r="N119" s="30"/>
    </row>
    <row r="120" spans="1:14" ht="18">
      <c r="A120" s="166"/>
      <c r="B120" s="30"/>
      <c r="C120" s="30"/>
      <c r="D120" s="30"/>
      <c r="E120" s="30"/>
      <c r="F120" s="30"/>
      <c r="G120" s="30"/>
      <c r="H120" s="30"/>
      <c r="I120" s="30"/>
      <c r="J120" s="30"/>
      <c r="K120" s="30"/>
      <c r="L120" s="30"/>
      <c r="M120" s="30"/>
      <c r="N120" s="30"/>
    </row>
    <row r="121" spans="1:14" ht="18">
      <c r="A121" s="166"/>
      <c r="B121" s="30"/>
      <c r="C121" s="30"/>
      <c r="D121" s="30"/>
      <c r="E121" s="30"/>
      <c r="F121" s="30"/>
      <c r="G121" s="30"/>
      <c r="H121" s="30"/>
      <c r="I121" s="30"/>
      <c r="J121" s="30"/>
      <c r="K121" s="30"/>
      <c r="L121" s="30"/>
      <c r="M121" s="30"/>
      <c r="N121" s="30"/>
    </row>
    <row r="122" spans="1:13" ht="18">
      <c r="A122" s="30"/>
      <c r="B122" s="73" t="s">
        <v>128</v>
      </c>
      <c r="C122" s="30"/>
      <c r="D122" s="30"/>
      <c r="E122" s="30"/>
      <c r="F122" s="30"/>
      <c r="G122" s="30"/>
      <c r="H122" s="30"/>
      <c r="I122" s="30"/>
      <c r="J122" s="30"/>
      <c r="K122" s="30"/>
      <c r="L122" s="30"/>
      <c r="M122" s="30"/>
    </row>
    <row r="123" spans="1:13" ht="18">
      <c r="A123" s="322" t="s">
        <v>249</v>
      </c>
      <c r="B123" s="314" t="str">
        <f aca="true" t="shared" si="14" ref="B123:M123">+B47</f>
        <v>Jan</v>
      </c>
      <c r="C123" s="314" t="str">
        <f t="shared" si="14"/>
        <v>Feb</v>
      </c>
      <c r="D123" s="314" t="str">
        <f t="shared" si="14"/>
        <v>Mar</v>
      </c>
      <c r="E123" s="314" t="str">
        <f t="shared" si="14"/>
        <v>Apr</v>
      </c>
      <c r="F123" s="314" t="str">
        <f t="shared" si="14"/>
        <v>May</v>
      </c>
      <c r="G123" s="314" t="str">
        <f t="shared" si="14"/>
        <v>Jun</v>
      </c>
      <c r="H123" s="314" t="str">
        <f t="shared" si="14"/>
        <v>Jul</v>
      </c>
      <c r="I123" s="314" t="str">
        <f t="shared" si="14"/>
        <v>Aug</v>
      </c>
      <c r="J123" s="314" t="str">
        <f t="shared" si="14"/>
        <v>Sep</v>
      </c>
      <c r="K123" s="314" t="str">
        <f t="shared" si="14"/>
        <v>Oct</v>
      </c>
      <c r="L123" s="314" t="str">
        <f t="shared" si="14"/>
        <v>Nov</v>
      </c>
      <c r="M123" s="314" t="str">
        <f t="shared" si="14"/>
        <v>Dec</v>
      </c>
    </row>
    <row r="124" spans="2:13" ht="18">
      <c r="B124" s="30"/>
      <c r="C124" s="30"/>
      <c r="D124" s="30"/>
      <c r="E124" s="30"/>
      <c r="F124" s="30"/>
      <c r="G124" s="30"/>
      <c r="H124" s="30"/>
      <c r="I124" s="30"/>
      <c r="J124" s="30"/>
      <c r="K124" s="30"/>
      <c r="L124" s="30"/>
      <c r="M124" s="30"/>
    </row>
    <row r="125" ht="18"/>
    <row r="126" spans="1:2" ht="18">
      <c r="A126" s="331" t="s">
        <v>250</v>
      </c>
      <c r="B126" s="302"/>
    </row>
    <row r="127" spans="1:13" ht="18">
      <c r="A127" s="18" t="s">
        <v>20</v>
      </c>
      <c r="B127" s="302">
        <f>Financials!C59</f>
        <v>0</v>
      </c>
      <c r="C127" s="302">
        <f>Financials!D59</f>
        <v>0</v>
      </c>
      <c r="D127" s="302">
        <f>Financials!E59</f>
        <v>0</v>
      </c>
      <c r="E127" s="302">
        <f>Financials!F59</f>
        <v>0</v>
      </c>
      <c r="F127" s="302">
        <f>Financials!G59</f>
        <v>0</v>
      </c>
      <c r="G127" s="302">
        <f>Financials!H59</f>
        <v>0</v>
      </c>
      <c r="H127" s="302">
        <f>Financials!I59</f>
        <v>0</v>
      </c>
      <c r="I127" s="302">
        <f>Financials!J59</f>
        <v>0</v>
      </c>
      <c r="J127" s="302">
        <f>Financials!K59</f>
        <v>0</v>
      </c>
      <c r="K127" s="302">
        <f>Financials!L59</f>
        <v>0</v>
      </c>
      <c r="L127" s="302">
        <f>Financials!M59</f>
        <v>0</v>
      </c>
      <c r="M127" s="302">
        <f>Financials!N59</f>
        <v>0</v>
      </c>
    </row>
    <row r="128" spans="1:13" ht="18">
      <c r="A128" s="57" t="s">
        <v>251</v>
      </c>
      <c r="B128" s="310">
        <f>Financials!C77</f>
        <v>0</v>
      </c>
      <c r="C128" s="310">
        <f>Financials!D77</f>
        <v>0</v>
      </c>
      <c r="D128" s="310">
        <f>Financials!E77</f>
        <v>0</v>
      </c>
      <c r="E128" s="310">
        <f>Financials!F77</f>
        <v>0</v>
      </c>
      <c r="F128" s="310">
        <f>Financials!G77</f>
        <v>0</v>
      </c>
      <c r="G128" s="310">
        <f>Financials!H77</f>
        <v>0</v>
      </c>
      <c r="H128" s="310">
        <f>Financials!I77</f>
        <v>0</v>
      </c>
      <c r="I128" s="310">
        <f>Financials!J77</f>
        <v>0</v>
      </c>
      <c r="J128" s="310">
        <f>Financials!K77</f>
        <v>0</v>
      </c>
      <c r="K128" s="310">
        <f>Financials!L77</f>
        <v>0</v>
      </c>
      <c r="L128" s="310">
        <f>Financials!M77</f>
        <v>0</v>
      </c>
      <c r="M128" s="310">
        <f>Financials!N77</f>
        <v>0</v>
      </c>
    </row>
    <row r="129" spans="1:13" ht="18">
      <c r="A129" s="262" t="s">
        <v>250</v>
      </c>
      <c r="B129" s="332">
        <f aca="true" t="shared" si="15" ref="B129:M129">IF(B128&lt;1,0,+B127/B128)</f>
        <v>0</v>
      </c>
      <c r="C129" s="332">
        <f t="shared" si="15"/>
        <v>0</v>
      </c>
      <c r="D129" s="332">
        <f t="shared" si="15"/>
        <v>0</v>
      </c>
      <c r="E129" s="332">
        <f t="shared" si="15"/>
        <v>0</v>
      </c>
      <c r="F129" s="332">
        <f t="shared" si="15"/>
        <v>0</v>
      </c>
      <c r="G129" s="332">
        <f t="shared" si="15"/>
        <v>0</v>
      </c>
      <c r="H129" s="332">
        <f t="shared" si="15"/>
        <v>0</v>
      </c>
      <c r="I129" s="332">
        <f t="shared" si="15"/>
        <v>0</v>
      </c>
      <c r="J129" s="332">
        <f t="shared" si="15"/>
        <v>0</v>
      </c>
      <c r="K129" s="332">
        <f t="shared" si="15"/>
        <v>0</v>
      </c>
      <c r="L129" s="332">
        <f t="shared" si="15"/>
        <v>0</v>
      </c>
      <c r="M129" s="332">
        <f t="shared" si="15"/>
        <v>0</v>
      </c>
    </row>
    <row r="130" spans="1:13" ht="18">
      <c r="A130" s="262"/>
      <c r="B130" s="332"/>
      <c r="C130" s="332"/>
      <c r="D130" s="332"/>
      <c r="E130" s="332"/>
      <c r="F130" s="332"/>
      <c r="G130" s="332"/>
      <c r="H130" s="332"/>
      <c r="I130" s="332"/>
      <c r="J130" s="332"/>
      <c r="K130" s="332"/>
      <c r="L130" s="332"/>
      <c r="M130" s="332"/>
    </row>
    <row r="131" spans="1:13" ht="18">
      <c r="A131" s="262"/>
      <c r="B131" s="332"/>
      <c r="C131" s="332"/>
      <c r="D131" s="332"/>
      <c r="E131" s="332"/>
      <c r="F131" s="332"/>
      <c r="G131" s="332"/>
      <c r="H131" s="332"/>
      <c r="I131" s="332"/>
      <c r="J131" s="332"/>
      <c r="K131" s="332"/>
      <c r="L131" s="332"/>
      <c r="M131" s="332"/>
    </row>
    <row r="132" spans="2:13" ht="18">
      <c r="B132" s="302"/>
      <c r="C132" s="302"/>
      <c r="D132" s="302"/>
      <c r="E132" s="302"/>
      <c r="F132" s="302"/>
      <c r="G132" s="302"/>
      <c r="H132" s="302"/>
      <c r="I132" s="302"/>
      <c r="J132" s="302"/>
      <c r="K132" s="302"/>
      <c r="L132" s="302"/>
      <c r="M132" s="302"/>
    </row>
    <row r="133" spans="1:13" ht="18">
      <c r="A133" s="331" t="s">
        <v>252</v>
      </c>
      <c r="B133" s="302"/>
      <c r="C133" s="302"/>
      <c r="D133" s="302"/>
      <c r="E133" s="302"/>
      <c r="F133" s="302"/>
      <c r="G133" s="302"/>
      <c r="H133" s="302"/>
      <c r="I133" s="302"/>
      <c r="J133" s="302"/>
      <c r="K133" s="302"/>
      <c r="L133" s="302"/>
      <c r="M133" s="302"/>
    </row>
    <row r="134" spans="1:13" ht="18">
      <c r="A134" s="18" t="s">
        <v>22</v>
      </c>
      <c r="B134" s="302">
        <f>Financials!C64</f>
        <v>0</v>
      </c>
      <c r="C134" s="302">
        <f>Financials!D64</f>
        <v>0</v>
      </c>
      <c r="D134" s="302">
        <f>Financials!E64</f>
        <v>0</v>
      </c>
      <c r="E134" s="302">
        <f>Financials!F64</f>
        <v>0</v>
      </c>
      <c r="F134" s="302">
        <f>Financials!G64</f>
        <v>0</v>
      </c>
      <c r="G134" s="302">
        <f>Financials!H64</f>
        <v>0</v>
      </c>
      <c r="H134" s="302">
        <f>Financials!I64</f>
        <v>0</v>
      </c>
      <c r="I134" s="302">
        <f>Financials!J64</f>
        <v>0</v>
      </c>
      <c r="J134" s="302">
        <f>Financials!K64</f>
        <v>0</v>
      </c>
      <c r="K134" s="302">
        <f>Financials!L64</f>
        <v>0</v>
      </c>
      <c r="L134" s="302">
        <f>Financials!M64</f>
        <v>0</v>
      </c>
      <c r="M134" s="302">
        <f>Financials!N64</f>
        <v>0</v>
      </c>
    </row>
    <row r="135" spans="1:13" ht="18">
      <c r="A135" s="57" t="s">
        <v>29</v>
      </c>
      <c r="B135" s="310">
        <f>Financials!C80</f>
        <v>0</v>
      </c>
      <c r="C135" s="310">
        <f>Financials!D80</f>
        <v>0</v>
      </c>
      <c r="D135" s="310">
        <f>Financials!E80</f>
        <v>0</v>
      </c>
      <c r="E135" s="310">
        <f>Financials!F80</f>
        <v>0</v>
      </c>
      <c r="F135" s="310">
        <f>Financials!G80</f>
        <v>0</v>
      </c>
      <c r="G135" s="310">
        <f>Financials!H80</f>
        <v>0</v>
      </c>
      <c r="H135" s="310">
        <f>Financials!I80</f>
        <v>0</v>
      </c>
      <c r="I135" s="310">
        <f>Financials!J80</f>
        <v>0</v>
      </c>
      <c r="J135" s="310">
        <f>Financials!K80</f>
        <v>0</v>
      </c>
      <c r="K135" s="310">
        <f>Financials!L80</f>
        <v>0</v>
      </c>
      <c r="L135" s="310">
        <f>Financials!M80</f>
        <v>0</v>
      </c>
      <c r="M135" s="310">
        <f>Financials!N80</f>
        <v>0</v>
      </c>
    </row>
    <row r="136" spans="1:13" ht="18">
      <c r="A136" s="262" t="s">
        <v>252</v>
      </c>
      <c r="B136" s="332">
        <f aca="true" t="shared" si="16" ref="B136:M136">IF(B135&lt;1,0,+B134/B135)</f>
        <v>0</v>
      </c>
      <c r="C136" s="332">
        <f t="shared" si="16"/>
        <v>0</v>
      </c>
      <c r="D136" s="332">
        <f t="shared" si="16"/>
        <v>0</v>
      </c>
      <c r="E136" s="332">
        <f t="shared" si="16"/>
        <v>0</v>
      </c>
      <c r="F136" s="332">
        <f t="shared" si="16"/>
        <v>0</v>
      </c>
      <c r="G136" s="332">
        <f t="shared" si="16"/>
        <v>0</v>
      </c>
      <c r="H136" s="332">
        <f t="shared" si="16"/>
        <v>0</v>
      </c>
      <c r="I136" s="332">
        <f t="shared" si="16"/>
        <v>0</v>
      </c>
      <c r="J136" s="332">
        <f t="shared" si="16"/>
        <v>0</v>
      </c>
      <c r="K136" s="332">
        <f t="shared" si="16"/>
        <v>0</v>
      </c>
      <c r="L136" s="332">
        <f t="shared" si="16"/>
        <v>0</v>
      </c>
      <c r="M136" s="332">
        <f t="shared" si="16"/>
        <v>0</v>
      </c>
    </row>
    <row r="137" spans="2:13" ht="18">
      <c r="B137" s="302"/>
      <c r="C137" s="302"/>
      <c r="D137" s="302"/>
      <c r="E137" s="302"/>
      <c r="F137" s="302"/>
      <c r="G137" s="302"/>
      <c r="H137" s="302"/>
      <c r="I137" s="302"/>
      <c r="J137" s="302"/>
      <c r="K137" s="302"/>
      <c r="L137" s="302"/>
      <c r="M137" s="302"/>
    </row>
    <row r="138" spans="2:13" ht="18">
      <c r="B138" s="302"/>
      <c r="C138" s="302"/>
      <c r="D138" s="302"/>
      <c r="E138" s="302"/>
      <c r="F138" s="302"/>
      <c r="G138" s="302"/>
      <c r="H138" s="302"/>
      <c r="I138" s="302"/>
      <c r="J138" s="302"/>
      <c r="K138" s="302"/>
      <c r="L138" s="302"/>
      <c r="M138" s="302"/>
    </row>
    <row r="139" spans="2:13" ht="18">
      <c r="B139" s="302"/>
      <c r="C139" s="302"/>
      <c r="D139" s="302"/>
      <c r="E139" s="302"/>
      <c r="F139" s="302"/>
      <c r="G139" s="302"/>
      <c r="H139" s="302"/>
      <c r="I139" s="302"/>
      <c r="J139" s="302"/>
      <c r="K139" s="302"/>
      <c r="L139" s="302"/>
      <c r="M139" s="302"/>
    </row>
    <row r="140" spans="1:13" ht="18">
      <c r="A140" s="331" t="s">
        <v>253</v>
      </c>
      <c r="B140" s="302"/>
      <c r="C140" s="302"/>
      <c r="D140" s="302"/>
      <c r="E140" s="302"/>
      <c r="F140" s="302"/>
      <c r="G140" s="302"/>
      <c r="H140" s="302"/>
      <c r="I140" s="302"/>
      <c r="J140" s="302"/>
      <c r="K140" s="302"/>
      <c r="L140" s="302"/>
      <c r="M140" s="302"/>
    </row>
    <row r="141" spans="1:13" ht="18">
      <c r="A141" s="18" t="s">
        <v>254</v>
      </c>
      <c r="B141" s="302">
        <f>Financials!C89</f>
        <v>0</v>
      </c>
      <c r="C141" s="302">
        <f>Financials!D89</f>
        <v>0</v>
      </c>
      <c r="D141" s="302">
        <f>Financials!E89</f>
        <v>0</v>
      </c>
      <c r="E141" s="302">
        <f>Financials!F89</f>
        <v>0</v>
      </c>
      <c r="F141" s="302">
        <f>Financials!G89</f>
        <v>0</v>
      </c>
      <c r="G141" s="302">
        <f>Financials!H89</f>
        <v>0</v>
      </c>
      <c r="H141" s="302">
        <f>Financials!I89</f>
        <v>0</v>
      </c>
      <c r="I141" s="302">
        <f>Financials!J89</f>
        <v>0</v>
      </c>
      <c r="J141" s="302">
        <f>Financials!K89</f>
        <v>0</v>
      </c>
      <c r="K141" s="302">
        <f>Financials!L89</f>
        <v>0</v>
      </c>
      <c r="L141" s="302">
        <f>Financials!M89</f>
        <v>0</v>
      </c>
      <c r="M141" s="302">
        <f>Financials!N89</f>
        <v>0</v>
      </c>
    </row>
    <row r="142" spans="1:13" ht="18">
      <c r="A142" s="57" t="s">
        <v>255</v>
      </c>
      <c r="B142" s="310">
        <f>Financials!C99</f>
        <v>0</v>
      </c>
      <c r="C142" s="310">
        <f>Financials!D99</f>
        <v>0</v>
      </c>
      <c r="D142" s="310">
        <f>Financials!E99</f>
        <v>0</v>
      </c>
      <c r="E142" s="310">
        <f>Financials!F99</f>
        <v>0</v>
      </c>
      <c r="F142" s="310">
        <f>Financials!G99</f>
        <v>0</v>
      </c>
      <c r="G142" s="310">
        <f>Financials!H99</f>
        <v>0</v>
      </c>
      <c r="H142" s="310">
        <f>Financials!I99</f>
        <v>0</v>
      </c>
      <c r="I142" s="310">
        <f>Financials!J99</f>
        <v>0</v>
      </c>
      <c r="J142" s="310">
        <f>Financials!K99</f>
        <v>0</v>
      </c>
      <c r="K142" s="310">
        <f>Financials!L99</f>
        <v>0</v>
      </c>
      <c r="L142" s="310">
        <f>Financials!M99</f>
        <v>0</v>
      </c>
      <c r="M142" s="310">
        <f>Financials!N99</f>
        <v>0</v>
      </c>
    </row>
    <row r="143" spans="1:13" ht="18">
      <c r="A143" s="262" t="s">
        <v>256</v>
      </c>
      <c r="B143" s="332">
        <f aca="true" t="shared" si="17" ref="B143:M143">IF(B142&lt;1,0,+B141/B142)</f>
        <v>0</v>
      </c>
      <c r="C143" s="332">
        <f t="shared" si="17"/>
        <v>0</v>
      </c>
      <c r="D143" s="332">
        <f t="shared" si="17"/>
        <v>0</v>
      </c>
      <c r="E143" s="332">
        <f t="shared" si="17"/>
        <v>0</v>
      </c>
      <c r="F143" s="332">
        <f t="shared" si="17"/>
        <v>0</v>
      </c>
      <c r="G143" s="332">
        <f t="shared" si="17"/>
        <v>0</v>
      </c>
      <c r="H143" s="332">
        <f t="shared" si="17"/>
        <v>0</v>
      </c>
      <c r="I143" s="332">
        <f t="shared" si="17"/>
        <v>0</v>
      </c>
      <c r="J143" s="332">
        <f t="shared" si="17"/>
        <v>0</v>
      </c>
      <c r="K143" s="332">
        <f t="shared" si="17"/>
        <v>0</v>
      </c>
      <c r="L143" s="332">
        <f t="shared" si="17"/>
        <v>0</v>
      </c>
      <c r="M143" s="332">
        <f t="shared" si="17"/>
        <v>0</v>
      </c>
    </row>
    <row r="144" spans="2:13" ht="18">
      <c r="B144" s="302"/>
      <c r="C144" s="302"/>
      <c r="D144" s="302"/>
      <c r="E144" s="302"/>
      <c r="F144" s="302"/>
      <c r="G144" s="302"/>
      <c r="H144" s="302"/>
      <c r="I144" s="302"/>
      <c r="J144" s="302"/>
      <c r="K144" s="302"/>
      <c r="L144" s="302"/>
      <c r="M144" s="302"/>
    </row>
    <row r="145" spans="2:13" ht="18">
      <c r="B145" s="302"/>
      <c r="C145" s="302"/>
      <c r="D145" s="302"/>
      <c r="E145" s="302"/>
      <c r="F145" s="302"/>
      <c r="G145" s="302"/>
      <c r="H145" s="302"/>
      <c r="I145" s="302"/>
      <c r="J145" s="302"/>
      <c r="K145" s="302"/>
      <c r="L145" s="302"/>
      <c r="M145" s="302"/>
    </row>
    <row r="146" spans="2:13" ht="18">
      <c r="B146" s="302"/>
      <c r="C146" s="302"/>
      <c r="D146" s="302"/>
      <c r="E146" s="302"/>
      <c r="F146" s="302"/>
      <c r="G146" s="302"/>
      <c r="H146" s="302"/>
      <c r="I146" s="302"/>
      <c r="J146" s="302"/>
      <c r="K146" s="302"/>
      <c r="L146" s="302"/>
      <c r="M146" s="302"/>
    </row>
    <row r="147" spans="1:13" ht="18">
      <c r="A147" s="331" t="s">
        <v>257</v>
      </c>
      <c r="B147" s="302"/>
      <c r="C147" s="302"/>
      <c r="D147" s="302"/>
      <c r="E147" s="302"/>
      <c r="F147" s="302"/>
      <c r="G147" s="302"/>
      <c r="H147" s="302"/>
      <c r="I147" s="302"/>
      <c r="J147" s="302"/>
      <c r="K147" s="302"/>
      <c r="L147" s="302"/>
      <c r="M147" s="302"/>
    </row>
    <row r="148" spans="2:13" ht="18">
      <c r="B148" s="302"/>
      <c r="C148" s="302"/>
      <c r="D148" s="302"/>
      <c r="E148" s="302"/>
      <c r="F148" s="302"/>
      <c r="G148" s="302"/>
      <c r="H148" s="302"/>
      <c r="I148" s="302"/>
      <c r="J148" s="302"/>
      <c r="K148" s="302"/>
      <c r="L148" s="302"/>
      <c r="M148" s="302"/>
    </row>
    <row r="149" spans="1:13" ht="18">
      <c r="A149" s="262" t="s">
        <v>15</v>
      </c>
      <c r="B149" s="302">
        <f>Financials!C47</f>
        <v>0</v>
      </c>
      <c r="C149" s="302">
        <f>Financials!D47</f>
        <v>0</v>
      </c>
      <c r="D149" s="302">
        <f>Financials!E47</f>
        <v>0</v>
      </c>
      <c r="E149" s="302">
        <f>Financials!F47</f>
        <v>0</v>
      </c>
      <c r="F149" s="302">
        <f>Financials!G47</f>
        <v>0</v>
      </c>
      <c r="G149" s="302">
        <f>Financials!H47</f>
        <v>0</v>
      </c>
      <c r="H149" s="302">
        <f>Financials!I47</f>
        <v>0</v>
      </c>
      <c r="I149" s="302">
        <f>Financials!J47</f>
        <v>0</v>
      </c>
      <c r="J149" s="302">
        <f>Financials!K47</f>
        <v>0</v>
      </c>
      <c r="K149" s="302">
        <f>Financials!L47</f>
        <v>0</v>
      </c>
      <c r="L149" s="302">
        <f>Financials!M47</f>
        <v>0</v>
      </c>
      <c r="M149" s="302">
        <f>Financials!N47</f>
        <v>0</v>
      </c>
    </row>
    <row r="150" spans="1:13" ht="18">
      <c r="A150" s="262"/>
      <c r="B150" s="302"/>
      <c r="C150" s="302"/>
      <c r="D150" s="302"/>
      <c r="E150" s="302"/>
      <c r="F150" s="302"/>
      <c r="G150" s="302"/>
      <c r="H150" s="302"/>
      <c r="I150" s="302"/>
      <c r="J150" s="302"/>
      <c r="K150" s="302"/>
      <c r="L150" s="302"/>
      <c r="M150" s="302"/>
    </row>
    <row r="151" spans="1:13" ht="18">
      <c r="A151" s="262" t="s">
        <v>258</v>
      </c>
      <c r="B151" s="302">
        <f>+B149</f>
        <v>0</v>
      </c>
      <c r="C151" s="302">
        <f aca="true" t="shared" si="18" ref="C151:M151">+C149+B151</f>
        <v>0</v>
      </c>
      <c r="D151" s="302">
        <f t="shared" si="18"/>
        <v>0</v>
      </c>
      <c r="E151" s="302">
        <f t="shared" si="18"/>
        <v>0</v>
      </c>
      <c r="F151" s="302">
        <f t="shared" si="18"/>
        <v>0</v>
      </c>
      <c r="G151" s="302">
        <f t="shared" si="18"/>
        <v>0</v>
      </c>
      <c r="H151" s="302">
        <f t="shared" si="18"/>
        <v>0</v>
      </c>
      <c r="I151" s="302">
        <f t="shared" si="18"/>
        <v>0</v>
      </c>
      <c r="J151" s="302">
        <f t="shared" si="18"/>
        <v>0</v>
      </c>
      <c r="K151" s="302">
        <f t="shared" si="18"/>
        <v>0</v>
      </c>
      <c r="L151" s="302">
        <f t="shared" si="18"/>
        <v>0</v>
      </c>
      <c r="M151" s="302">
        <f t="shared" si="18"/>
        <v>0</v>
      </c>
    </row>
    <row r="152" spans="2:14" ht="18">
      <c r="B152" s="302"/>
      <c r="K152" s="30"/>
      <c r="L152" s="30"/>
      <c r="M152" s="30"/>
      <c r="N152" s="30"/>
    </row>
    <row r="153" spans="1:14" ht="18">
      <c r="A153" s="30" t="str">
        <f>+A$41</f>
        <v>MyCo</v>
      </c>
      <c r="B153" s="30"/>
      <c r="C153" s="30"/>
      <c r="D153" s="30"/>
      <c r="E153" s="30"/>
      <c r="F153" s="30"/>
      <c r="G153" s="30"/>
      <c r="H153" s="30"/>
      <c r="I153" s="30"/>
      <c r="J153" s="30"/>
      <c r="K153" s="30"/>
      <c r="L153" s="30"/>
      <c r="M153" s="30"/>
      <c r="N153" s="318" t="str">
        <f>Cover!$A$17</f>
        <v>Draft 1.0</v>
      </c>
    </row>
    <row r="154" spans="1:14" ht="26.25" customHeight="1">
      <c r="A154" s="317" t="s">
        <v>259</v>
      </c>
      <c r="B154" s="30"/>
      <c r="C154" s="30"/>
      <c r="D154" s="30"/>
      <c r="E154" s="30"/>
      <c r="F154" s="30"/>
      <c r="G154" s="30"/>
      <c r="H154" s="30"/>
      <c r="I154" s="30"/>
      <c r="J154" s="30"/>
      <c r="K154" s="30"/>
      <c r="L154" s="30"/>
      <c r="M154" s="30"/>
      <c r="N154" s="30"/>
    </row>
    <row r="155" spans="1:14" ht="18">
      <c r="A155" s="654">
        <f>Headcount!$P$3</f>
        <v>2023</v>
      </c>
      <c r="B155" s="30"/>
      <c r="C155" s="30"/>
      <c r="D155" s="30"/>
      <c r="E155" s="30"/>
      <c r="F155" s="30"/>
      <c r="G155" s="30"/>
      <c r="H155" s="30"/>
      <c r="I155" s="30"/>
      <c r="J155" s="30"/>
      <c r="K155" s="30"/>
      <c r="L155" s="30"/>
      <c r="M155" s="30"/>
      <c r="N155" s="30"/>
    </row>
    <row r="156" spans="1:14" ht="18">
      <c r="A156" s="166"/>
      <c r="B156" s="30"/>
      <c r="C156" s="30"/>
      <c r="D156" s="30"/>
      <c r="E156" s="30"/>
      <c r="F156" s="30"/>
      <c r="G156" s="30"/>
      <c r="H156" s="30"/>
      <c r="I156" s="30"/>
      <c r="J156" s="30"/>
      <c r="K156" s="30"/>
      <c r="L156" s="30"/>
      <c r="M156" s="30"/>
      <c r="N156" s="30"/>
    </row>
    <row r="157" spans="1:14" ht="18">
      <c r="A157" s="166"/>
      <c r="B157" s="30"/>
      <c r="C157" s="30"/>
      <c r="D157" s="30"/>
      <c r="E157" s="30"/>
      <c r="F157" s="30"/>
      <c r="G157" s="30"/>
      <c r="H157" s="30"/>
      <c r="I157" s="30"/>
      <c r="J157" s="30"/>
      <c r="K157" s="30"/>
      <c r="L157" s="30"/>
      <c r="M157" s="30"/>
      <c r="N157" s="30"/>
    </row>
    <row r="158" spans="1:13" ht="18">
      <c r="A158" s="30"/>
      <c r="B158" s="30"/>
      <c r="C158" s="30"/>
      <c r="D158" s="30"/>
      <c r="E158" s="30"/>
      <c r="F158" s="30"/>
      <c r="G158" s="30"/>
      <c r="H158" s="30"/>
      <c r="I158" s="30"/>
      <c r="J158" s="30"/>
      <c r="K158" s="30"/>
      <c r="L158" s="30"/>
      <c r="M158" s="30"/>
    </row>
    <row r="159" spans="1:13" ht="18">
      <c r="A159" s="322" t="s">
        <v>249</v>
      </c>
      <c r="B159" s="314" t="str">
        <f>+Headcount!R5</f>
        <v>Jan</v>
      </c>
      <c r="C159" s="314" t="str">
        <f>+Headcount!S5</f>
        <v>Feb</v>
      </c>
      <c r="D159" s="314" t="str">
        <f>+Headcount!T5</f>
        <v>Mar</v>
      </c>
      <c r="E159" s="314" t="str">
        <f>+Headcount!U5</f>
        <v>Apr</v>
      </c>
      <c r="F159" s="314" t="str">
        <f>+Headcount!V5</f>
        <v>May</v>
      </c>
      <c r="G159" s="314" t="str">
        <f>+Headcount!W5</f>
        <v>Jun</v>
      </c>
      <c r="H159" s="314" t="str">
        <f>+Headcount!X5</f>
        <v>Jul</v>
      </c>
      <c r="I159" s="314" t="str">
        <f>+Headcount!Y5</f>
        <v>Aug</v>
      </c>
      <c r="J159" s="314" t="str">
        <f>+Headcount!Z5</f>
        <v>Sep</v>
      </c>
      <c r="K159" s="314" t="str">
        <f>+Headcount!AA5</f>
        <v>Oct</v>
      </c>
      <c r="L159" s="314" t="str">
        <f>+Headcount!AB5</f>
        <v>Nov</v>
      </c>
      <c r="M159" s="314" t="str">
        <f>+Headcount!AC5</f>
        <v>Dec</v>
      </c>
    </row>
    <row r="160" ht="18">
      <c r="A160" s="30"/>
    </row>
    <row r="161" ht="18"/>
    <row r="162" spans="1:2" ht="18">
      <c r="A162" s="331" t="s">
        <v>250</v>
      </c>
      <c r="B162" s="302"/>
    </row>
    <row r="163" spans="1:13" ht="18">
      <c r="A163" s="18" t="s">
        <v>20</v>
      </c>
      <c r="B163" s="302">
        <f>Financials!R59</f>
        <v>0</v>
      </c>
      <c r="C163" s="302">
        <f>Financials!S59</f>
        <v>0</v>
      </c>
      <c r="D163" s="302">
        <f>Financials!T59</f>
        <v>0</v>
      </c>
      <c r="E163" s="302">
        <f>Financials!U59</f>
        <v>0</v>
      </c>
      <c r="F163" s="302">
        <f>Financials!V59</f>
        <v>0</v>
      </c>
      <c r="G163" s="302">
        <f>Financials!W59</f>
        <v>0</v>
      </c>
      <c r="H163" s="302">
        <f>Financials!X59</f>
        <v>0</v>
      </c>
      <c r="I163" s="302">
        <f>Financials!Y59</f>
        <v>0</v>
      </c>
      <c r="J163" s="302">
        <f>Financials!Z59</f>
        <v>0</v>
      </c>
      <c r="K163" s="302">
        <f>Financials!AA59</f>
        <v>0</v>
      </c>
      <c r="L163" s="302">
        <f>Financials!AB59</f>
        <v>0</v>
      </c>
      <c r="M163" s="302">
        <f>Financials!AC59</f>
        <v>0</v>
      </c>
    </row>
    <row r="164" spans="1:13" ht="18">
      <c r="A164" s="57" t="s">
        <v>251</v>
      </c>
      <c r="B164" s="310">
        <f>Financials!R77</f>
        <v>0</v>
      </c>
      <c r="C164" s="310">
        <f>Financials!S77</f>
        <v>0</v>
      </c>
      <c r="D164" s="310">
        <f>Financials!T77</f>
        <v>0</v>
      </c>
      <c r="E164" s="310">
        <f>Financials!U77</f>
        <v>0</v>
      </c>
      <c r="F164" s="310">
        <f>Financials!V77</f>
        <v>0</v>
      </c>
      <c r="G164" s="310">
        <f>Financials!W77</f>
        <v>0</v>
      </c>
      <c r="H164" s="310">
        <f>Financials!X77</f>
        <v>0</v>
      </c>
      <c r="I164" s="310">
        <f>Financials!Y77</f>
        <v>0</v>
      </c>
      <c r="J164" s="310">
        <f>Financials!Z77</f>
        <v>0</v>
      </c>
      <c r="K164" s="310">
        <f>Financials!AA77</f>
        <v>0</v>
      </c>
      <c r="L164" s="310">
        <f>Financials!AB77</f>
        <v>0</v>
      </c>
      <c r="M164" s="310">
        <f>Financials!AC77</f>
        <v>0</v>
      </c>
    </row>
    <row r="165" spans="1:13" ht="18">
      <c r="A165" s="262" t="s">
        <v>250</v>
      </c>
      <c r="B165" s="332">
        <f aca="true" t="shared" si="19" ref="B165:M165">IF(B164&lt;1,0,+B163/B164)</f>
        <v>0</v>
      </c>
      <c r="C165" s="332">
        <f t="shared" si="19"/>
        <v>0</v>
      </c>
      <c r="D165" s="332">
        <f t="shared" si="19"/>
        <v>0</v>
      </c>
      <c r="E165" s="332">
        <f t="shared" si="19"/>
        <v>0</v>
      </c>
      <c r="F165" s="332">
        <f t="shared" si="19"/>
        <v>0</v>
      </c>
      <c r="G165" s="332">
        <f t="shared" si="19"/>
        <v>0</v>
      </c>
      <c r="H165" s="332">
        <f t="shared" si="19"/>
        <v>0</v>
      </c>
      <c r="I165" s="332">
        <f t="shared" si="19"/>
        <v>0</v>
      </c>
      <c r="J165" s="332">
        <f t="shared" si="19"/>
        <v>0</v>
      </c>
      <c r="K165" s="332">
        <f t="shared" si="19"/>
        <v>0</v>
      </c>
      <c r="L165" s="332">
        <f t="shared" si="19"/>
        <v>0</v>
      </c>
      <c r="M165" s="332">
        <f t="shared" si="19"/>
        <v>0</v>
      </c>
    </row>
    <row r="166" spans="1:13" ht="18">
      <c r="A166" s="262"/>
      <c r="B166" s="332"/>
      <c r="C166" s="332"/>
      <c r="D166" s="332"/>
      <c r="E166" s="332"/>
      <c r="F166" s="332"/>
      <c r="G166" s="332"/>
      <c r="H166" s="332"/>
      <c r="I166" s="332"/>
      <c r="J166" s="332"/>
      <c r="K166" s="332"/>
      <c r="L166" s="332"/>
      <c r="M166" s="332"/>
    </row>
    <row r="167" spans="1:13" ht="18">
      <c r="A167" s="262"/>
      <c r="B167" s="332"/>
      <c r="C167" s="332"/>
      <c r="D167" s="332"/>
      <c r="E167" s="332"/>
      <c r="F167" s="332"/>
      <c r="G167" s="332"/>
      <c r="H167" s="332"/>
      <c r="I167" s="332"/>
      <c r="J167" s="332"/>
      <c r="K167" s="332"/>
      <c r="L167" s="332"/>
      <c r="M167" s="332"/>
    </row>
    <row r="168" spans="2:13" ht="18">
      <c r="B168" s="302"/>
      <c r="C168" s="302"/>
      <c r="D168" s="302"/>
      <c r="E168" s="302"/>
      <c r="F168" s="302"/>
      <c r="G168" s="302"/>
      <c r="H168" s="302"/>
      <c r="I168" s="302"/>
      <c r="J168" s="302"/>
      <c r="K168" s="302"/>
      <c r="L168" s="302"/>
      <c r="M168" s="302"/>
    </row>
    <row r="169" spans="1:13" ht="18">
      <c r="A169" s="331" t="s">
        <v>252</v>
      </c>
      <c r="B169" s="302"/>
      <c r="C169" s="302"/>
      <c r="D169" s="302"/>
      <c r="E169" s="302"/>
      <c r="F169" s="302"/>
      <c r="G169" s="302"/>
      <c r="H169" s="302"/>
      <c r="I169" s="302"/>
      <c r="J169" s="302"/>
      <c r="K169" s="302"/>
      <c r="L169" s="302"/>
      <c r="M169" s="302"/>
    </row>
    <row r="170" spans="1:13" ht="18">
      <c r="A170" s="18" t="s">
        <v>22</v>
      </c>
      <c r="B170" s="302">
        <f>Financials!R64</f>
        <v>0</v>
      </c>
      <c r="C170" s="302">
        <f>Financials!S64</f>
        <v>0</v>
      </c>
      <c r="D170" s="302">
        <f>Financials!T64</f>
        <v>0</v>
      </c>
      <c r="E170" s="302">
        <f>Financials!U64</f>
        <v>0</v>
      </c>
      <c r="F170" s="302">
        <f>Financials!V64</f>
        <v>0</v>
      </c>
      <c r="G170" s="302">
        <f>Financials!W64</f>
        <v>0</v>
      </c>
      <c r="H170" s="302">
        <f>Financials!X64</f>
        <v>0</v>
      </c>
      <c r="I170" s="302">
        <f>Financials!Y64</f>
        <v>0</v>
      </c>
      <c r="J170" s="302">
        <f>Financials!Z64</f>
        <v>0</v>
      </c>
      <c r="K170" s="302">
        <f>Financials!AA64</f>
        <v>0</v>
      </c>
      <c r="L170" s="302">
        <f>Financials!AB64</f>
        <v>0</v>
      </c>
      <c r="M170" s="302">
        <f>Financials!AC64</f>
        <v>0</v>
      </c>
    </row>
    <row r="171" spans="1:13" ht="18">
      <c r="A171" s="57" t="s">
        <v>29</v>
      </c>
      <c r="B171" s="310">
        <f>Financials!R87</f>
        <v>0</v>
      </c>
      <c r="C171" s="310">
        <f>Financials!S87</f>
        <v>0</v>
      </c>
      <c r="D171" s="310">
        <f>Financials!T87</f>
        <v>0</v>
      </c>
      <c r="E171" s="310">
        <f>Financials!U87</f>
        <v>0</v>
      </c>
      <c r="F171" s="310">
        <f>Financials!V87</f>
        <v>0</v>
      </c>
      <c r="G171" s="310">
        <f>Financials!W87</f>
        <v>0</v>
      </c>
      <c r="H171" s="310">
        <f>Financials!X87</f>
        <v>0</v>
      </c>
      <c r="I171" s="310">
        <f>Financials!Y87</f>
        <v>0</v>
      </c>
      <c r="J171" s="310">
        <f>Financials!Z87</f>
        <v>0</v>
      </c>
      <c r="K171" s="310">
        <f>Financials!AA87</f>
        <v>0</v>
      </c>
      <c r="L171" s="310">
        <f>Financials!AB87</f>
        <v>0</v>
      </c>
      <c r="M171" s="310">
        <f>Financials!AC87</f>
        <v>0</v>
      </c>
    </row>
    <row r="172" spans="1:13" ht="18">
      <c r="A172" s="262" t="s">
        <v>252</v>
      </c>
      <c r="B172" s="332">
        <f aca="true" t="shared" si="20" ref="B172:M172">IF(B171&lt;1,0,+B170/B171)</f>
        <v>0</v>
      </c>
      <c r="C172" s="332">
        <f t="shared" si="20"/>
        <v>0</v>
      </c>
      <c r="D172" s="332">
        <f t="shared" si="20"/>
        <v>0</v>
      </c>
      <c r="E172" s="332">
        <f t="shared" si="20"/>
        <v>0</v>
      </c>
      <c r="F172" s="332">
        <f t="shared" si="20"/>
        <v>0</v>
      </c>
      <c r="G172" s="332">
        <f t="shared" si="20"/>
        <v>0</v>
      </c>
      <c r="H172" s="332">
        <f t="shared" si="20"/>
        <v>0</v>
      </c>
      <c r="I172" s="332">
        <f t="shared" si="20"/>
        <v>0</v>
      </c>
      <c r="J172" s="332">
        <f t="shared" si="20"/>
        <v>0</v>
      </c>
      <c r="K172" s="332">
        <f t="shared" si="20"/>
        <v>0</v>
      </c>
      <c r="L172" s="332">
        <f t="shared" si="20"/>
        <v>0</v>
      </c>
      <c r="M172" s="332">
        <f t="shared" si="20"/>
        <v>0</v>
      </c>
    </row>
    <row r="173" spans="2:13" ht="18">
      <c r="B173" s="302"/>
      <c r="C173" s="302"/>
      <c r="D173" s="302"/>
      <c r="E173" s="302"/>
      <c r="F173" s="302"/>
      <c r="G173" s="302"/>
      <c r="H173" s="302"/>
      <c r="I173" s="302"/>
      <c r="J173" s="302"/>
      <c r="K173" s="302"/>
      <c r="L173" s="302"/>
      <c r="M173" s="302"/>
    </row>
    <row r="174" spans="2:13" ht="18">
      <c r="B174" s="302"/>
      <c r="C174" s="302"/>
      <c r="D174" s="302"/>
      <c r="E174" s="302"/>
      <c r="F174" s="302"/>
      <c r="G174" s="302"/>
      <c r="H174" s="302"/>
      <c r="I174" s="302"/>
      <c r="J174" s="302"/>
      <c r="K174" s="302"/>
      <c r="L174" s="302"/>
      <c r="M174" s="302"/>
    </row>
    <row r="175" spans="2:13" ht="18">
      <c r="B175" s="302"/>
      <c r="C175" s="302"/>
      <c r="D175" s="302"/>
      <c r="E175" s="302"/>
      <c r="F175" s="302"/>
      <c r="G175" s="302"/>
      <c r="H175" s="302"/>
      <c r="I175" s="302"/>
      <c r="J175" s="302"/>
      <c r="K175" s="302"/>
      <c r="L175" s="302"/>
      <c r="M175" s="302"/>
    </row>
    <row r="176" spans="1:13" ht="18">
      <c r="A176" s="331" t="s">
        <v>253</v>
      </c>
      <c r="B176" s="302"/>
      <c r="C176" s="302"/>
      <c r="D176" s="302"/>
      <c r="E176" s="302"/>
      <c r="F176" s="302"/>
      <c r="G176" s="302"/>
      <c r="H176" s="302"/>
      <c r="I176" s="302"/>
      <c r="J176" s="302"/>
      <c r="K176" s="302"/>
      <c r="L176" s="302"/>
      <c r="M176" s="302"/>
    </row>
    <row r="177" spans="1:13" ht="18">
      <c r="A177" s="18" t="s">
        <v>254</v>
      </c>
      <c r="B177" s="302">
        <f>Financials!R89</f>
        <v>0</v>
      </c>
      <c r="C177" s="302">
        <f>Financials!S89</f>
        <v>0</v>
      </c>
      <c r="D177" s="302">
        <f>Financials!T89</f>
        <v>0</v>
      </c>
      <c r="E177" s="302">
        <f>Financials!U89</f>
        <v>0</v>
      </c>
      <c r="F177" s="302">
        <f>Financials!V89</f>
        <v>0</v>
      </c>
      <c r="G177" s="302">
        <f>Financials!W89</f>
        <v>0</v>
      </c>
      <c r="H177" s="302">
        <f>Financials!X89</f>
        <v>0</v>
      </c>
      <c r="I177" s="302">
        <f>Financials!Y89</f>
        <v>0</v>
      </c>
      <c r="J177" s="302">
        <f>Financials!Z89</f>
        <v>0</v>
      </c>
      <c r="K177" s="302">
        <f>Financials!AA89</f>
        <v>0</v>
      </c>
      <c r="L177" s="302">
        <f>Financials!AB89</f>
        <v>0</v>
      </c>
      <c r="M177" s="302">
        <f>Financials!AC89</f>
        <v>0</v>
      </c>
    </row>
    <row r="178" spans="1:13" ht="18">
      <c r="A178" s="57" t="s">
        <v>255</v>
      </c>
      <c r="B178" s="310">
        <f>Financials!R99</f>
        <v>0</v>
      </c>
      <c r="C178" s="310">
        <f>Financials!S99</f>
        <v>0</v>
      </c>
      <c r="D178" s="310">
        <f>Financials!T99</f>
        <v>0</v>
      </c>
      <c r="E178" s="310">
        <f>Financials!U99</f>
        <v>0</v>
      </c>
      <c r="F178" s="310">
        <f>Financials!V99</f>
        <v>0</v>
      </c>
      <c r="G178" s="310">
        <f>Financials!W99</f>
        <v>0</v>
      </c>
      <c r="H178" s="310">
        <f>Financials!X99</f>
        <v>0</v>
      </c>
      <c r="I178" s="310">
        <f>Financials!Y99</f>
        <v>0</v>
      </c>
      <c r="J178" s="310">
        <f>Financials!Z99</f>
        <v>0</v>
      </c>
      <c r="K178" s="310">
        <f>Financials!AA99</f>
        <v>0</v>
      </c>
      <c r="L178" s="310">
        <f>Financials!AB99</f>
        <v>0</v>
      </c>
      <c r="M178" s="310">
        <f>Financials!AC99</f>
        <v>0</v>
      </c>
    </row>
    <row r="179" spans="1:13" ht="18">
      <c r="A179" s="262" t="s">
        <v>256</v>
      </c>
      <c r="B179" s="332">
        <f aca="true" t="shared" si="21" ref="B179:M179">IF(B178&lt;1,0,+B177/B178)</f>
        <v>0</v>
      </c>
      <c r="C179" s="332">
        <f t="shared" si="21"/>
        <v>0</v>
      </c>
      <c r="D179" s="332">
        <f t="shared" si="21"/>
        <v>0</v>
      </c>
      <c r="E179" s="332">
        <f t="shared" si="21"/>
        <v>0</v>
      </c>
      <c r="F179" s="332">
        <f t="shared" si="21"/>
        <v>0</v>
      </c>
      <c r="G179" s="332">
        <f t="shared" si="21"/>
        <v>0</v>
      </c>
      <c r="H179" s="332">
        <f t="shared" si="21"/>
        <v>0</v>
      </c>
      <c r="I179" s="332">
        <f t="shared" si="21"/>
        <v>0</v>
      </c>
      <c r="J179" s="332">
        <f t="shared" si="21"/>
        <v>0</v>
      </c>
      <c r="K179" s="332">
        <f t="shared" si="21"/>
        <v>0</v>
      </c>
      <c r="L179" s="332">
        <f t="shared" si="21"/>
        <v>0</v>
      </c>
      <c r="M179" s="332">
        <f t="shared" si="21"/>
        <v>0</v>
      </c>
    </row>
    <row r="180" spans="2:13" ht="18">
      <c r="B180" s="302"/>
      <c r="C180" s="302"/>
      <c r="D180" s="302"/>
      <c r="E180" s="302"/>
      <c r="F180" s="302"/>
      <c r="G180" s="302"/>
      <c r="H180" s="302"/>
      <c r="I180" s="302"/>
      <c r="J180" s="302"/>
      <c r="K180" s="302"/>
      <c r="L180" s="302"/>
      <c r="M180" s="302"/>
    </row>
    <row r="181" spans="2:13" ht="18">
      <c r="B181" s="302"/>
      <c r="C181" s="302"/>
      <c r="D181" s="302"/>
      <c r="E181" s="302"/>
      <c r="F181" s="302"/>
      <c r="G181" s="302"/>
      <c r="H181" s="302"/>
      <c r="I181" s="302"/>
      <c r="J181" s="302"/>
      <c r="K181" s="302"/>
      <c r="L181" s="302"/>
      <c r="M181" s="302"/>
    </row>
    <row r="182" spans="2:13" ht="18">
      <c r="B182" s="302"/>
      <c r="C182" s="302"/>
      <c r="D182" s="302"/>
      <c r="E182" s="302"/>
      <c r="F182" s="302"/>
      <c r="G182" s="302"/>
      <c r="H182" s="302"/>
      <c r="I182" s="302"/>
      <c r="J182" s="302"/>
      <c r="K182" s="302"/>
      <c r="L182" s="302"/>
      <c r="M182" s="302"/>
    </row>
    <row r="183" spans="1:13" ht="18">
      <c r="A183" s="331" t="s">
        <v>257</v>
      </c>
      <c r="B183" s="302"/>
      <c r="C183" s="302"/>
      <c r="D183" s="302"/>
      <c r="E183" s="302"/>
      <c r="F183" s="302"/>
      <c r="G183" s="302"/>
      <c r="H183" s="302"/>
      <c r="I183" s="302"/>
      <c r="J183" s="302"/>
      <c r="K183" s="302"/>
      <c r="L183" s="302"/>
      <c r="M183" s="302"/>
    </row>
    <row r="184" spans="2:13" ht="18">
      <c r="B184" s="302"/>
      <c r="C184" s="302"/>
      <c r="D184" s="302"/>
      <c r="E184" s="302"/>
      <c r="F184" s="302"/>
      <c r="G184" s="302"/>
      <c r="H184" s="302"/>
      <c r="I184" s="302"/>
      <c r="J184" s="302"/>
      <c r="K184" s="302"/>
      <c r="L184" s="302"/>
      <c r="M184" s="302"/>
    </row>
    <row r="185" spans="1:13" ht="18">
      <c r="A185" s="262" t="s">
        <v>15</v>
      </c>
      <c r="B185" s="302">
        <f>Financials!R47</f>
        <v>0</v>
      </c>
      <c r="C185" s="302">
        <f>Financials!S47</f>
        <v>0</v>
      </c>
      <c r="D185" s="302">
        <f>Financials!T47</f>
        <v>0</v>
      </c>
      <c r="E185" s="302">
        <f>Financials!U47</f>
        <v>0</v>
      </c>
      <c r="F185" s="302">
        <f>Financials!V47</f>
        <v>0</v>
      </c>
      <c r="G185" s="302">
        <f>Financials!W47</f>
        <v>0</v>
      </c>
      <c r="H185" s="302">
        <f>Financials!X47</f>
        <v>0</v>
      </c>
      <c r="I185" s="302">
        <f>Financials!Y47</f>
        <v>0</v>
      </c>
      <c r="J185" s="302">
        <f>Financials!Z47</f>
        <v>0</v>
      </c>
      <c r="K185" s="302">
        <f>Financials!AA47</f>
        <v>0</v>
      </c>
      <c r="L185" s="302">
        <f>Financials!AB47</f>
        <v>0</v>
      </c>
      <c r="M185" s="302">
        <f>Financials!AC47</f>
        <v>0</v>
      </c>
    </row>
    <row r="186" spans="1:13" ht="18">
      <c r="A186" s="262"/>
      <c r="B186" s="302"/>
      <c r="C186" s="302"/>
      <c r="D186" s="302"/>
      <c r="E186" s="302"/>
      <c r="F186" s="302"/>
      <c r="G186" s="302"/>
      <c r="H186" s="302"/>
      <c r="I186" s="302"/>
      <c r="J186" s="302"/>
      <c r="K186" s="302"/>
      <c r="L186" s="302"/>
      <c r="M186" s="302"/>
    </row>
    <row r="187" spans="1:13" ht="18">
      <c r="A187" s="262" t="s">
        <v>258</v>
      </c>
      <c r="B187" s="302">
        <f>+B185</f>
        <v>0</v>
      </c>
      <c r="C187" s="302">
        <f aca="true" t="shared" si="22" ref="C187:M187">+C185+B187</f>
        <v>0</v>
      </c>
      <c r="D187" s="302">
        <f t="shared" si="22"/>
        <v>0</v>
      </c>
      <c r="E187" s="302">
        <f t="shared" si="22"/>
        <v>0</v>
      </c>
      <c r="F187" s="302">
        <f t="shared" si="22"/>
        <v>0</v>
      </c>
      <c r="G187" s="302">
        <f t="shared" si="22"/>
        <v>0</v>
      </c>
      <c r="H187" s="302">
        <f t="shared" si="22"/>
        <v>0</v>
      </c>
      <c r="I187" s="302">
        <f t="shared" si="22"/>
        <v>0</v>
      </c>
      <c r="J187" s="302">
        <f t="shared" si="22"/>
        <v>0</v>
      </c>
      <c r="K187" s="302">
        <f t="shared" si="22"/>
        <v>0</v>
      </c>
      <c r="L187" s="302">
        <f t="shared" si="22"/>
        <v>0</v>
      </c>
      <c r="M187" s="302">
        <f t="shared" si="22"/>
        <v>0</v>
      </c>
    </row>
    <row r="188" ht="18">
      <c r="B188" s="302"/>
    </row>
    <row r="189" ht="18"/>
    <row r="190" spans="1:14" s="5" customFormat="1" ht="18">
      <c r="A190" s="30" t="str">
        <f>+A$41</f>
        <v>MyCo</v>
      </c>
      <c r="B190" s="30"/>
      <c r="C190" s="30"/>
      <c r="D190" s="30"/>
      <c r="E190" s="30"/>
      <c r="F190" s="30"/>
      <c r="G190" s="30"/>
      <c r="H190" s="30"/>
      <c r="I190" s="30"/>
      <c r="J190" s="30"/>
      <c r="K190" s="30"/>
      <c r="L190" s="30"/>
      <c r="M190" s="30"/>
      <c r="N190" s="318" t="str">
        <f>Cover!$A$17</f>
        <v>Draft 1.0</v>
      </c>
    </row>
    <row r="191" spans="1:14" s="5" customFormat="1" ht="23.25">
      <c r="A191" s="317" t="s">
        <v>378</v>
      </c>
      <c r="B191" s="30"/>
      <c r="C191" s="30"/>
      <c r="D191" s="30"/>
      <c r="E191" s="30"/>
      <c r="F191" s="30"/>
      <c r="G191" s="30"/>
      <c r="H191" s="30"/>
      <c r="I191" s="30"/>
      <c r="J191" s="30"/>
      <c r="K191" s="30"/>
      <c r="L191" s="30"/>
      <c r="M191" s="30"/>
      <c r="N191" s="30"/>
    </row>
    <row r="192" spans="1:13" ht="18">
      <c r="A192" s="303"/>
      <c r="B192" s="30"/>
      <c r="C192" s="30"/>
      <c r="D192" s="30"/>
      <c r="E192" s="30"/>
      <c r="F192" s="30"/>
      <c r="G192" s="30"/>
      <c r="H192" s="30"/>
      <c r="I192" s="30"/>
      <c r="J192" s="30"/>
      <c r="K192" s="30"/>
      <c r="L192" s="30"/>
      <c r="M192" s="30"/>
    </row>
    <row r="193" spans="1:11" ht="18">
      <c r="A193" s="343"/>
      <c r="B193" s="343"/>
      <c r="C193" s="362" t="s">
        <v>364</v>
      </c>
      <c r="D193" s="342" t="s">
        <v>385</v>
      </c>
      <c r="E193" s="362" t="s">
        <v>489</v>
      </c>
      <c r="F193" s="342" t="s">
        <v>386</v>
      </c>
      <c r="G193" s="362" t="s">
        <v>490</v>
      </c>
      <c r="H193" s="342" t="s">
        <v>387</v>
      </c>
      <c r="I193" s="362" t="s">
        <v>491</v>
      </c>
      <c r="J193" s="342" t="s">
        <v>503</v>
      </c>
      <c r="K193" s="360" t="s">
        <v>376</v>
      </c>
    </row>
    <row r="194" spans="1:14" ht="18.75" thickBot="1">
      <c r="A194" s="356" t="s">
        <v>388</v>
      </c>
      <c r="B194" s="344" t="s">
        <v>365</v>
      </c>
      <c r="C194" s="361" t="s">
        <v>370</v>
      </c>
      <c r="D194" s="345" t="s">
        <v>366</v>
      </c>
      <c r="E194" s="361" t="s">
        <v>370</v>
      </c>
      <c r="F194" s="346" t="s">
        <v>366</v>
      </c>
      <c r="G194" s="361" t="s">
        <v>370</v>
      </c>
      <c r="H194" s="347" t="s">
        <v>366</v>
      </c>
      <c r="I194" s="361" t="s">
        <v>370</v>
      </c>
      <c r="J194" s="347" t="s">
        <v>366</v>
      </c>
      <c r="K194" s="363" t="s">
        <v>377</v>
      </c>
      <c r="L194" s="387" t="s">
        <v>389</v>
      </c>
      <c r="M194" s="363"/>
      <c r="N194" s="363"/>
    </row>
    <row r="195" spans="1:12" ht="18">
      <c r="A195" s="365"/>
      <c r="B195" s="365"/>
      <c r="C195" s="388"/>
      <c r="D195" s="365"/>
      <c r="E195" s="365"/>
      <c r="F195" s="365"/>
      <c r="G195" s="365"/>
      <c r="H195" s="365"/>
      <c r="I195" s="365"/>
      <c r="J195" s="365"/>
      <c r="K195" s="621"/>
      <c r="L195" s="620"/>
    </row>
    <row r="196" spans="1:14" ht="18">
      <c r="A196" s="389" t="s">
        <v>364</v>
      </c>
      <c r="B196" s="390"/>
      <c r="C196" s="391" t="s">
        <v>370</v>
      </c>
      <c r="D196" s="390"/>
      <c r="E196" s="390"/>
      <c r="F196" s="392"/>
      <c r="G196" s="390"/>
      <c r="H196" s="392"/>
      <c r="I196" s="390"/>
      <c r="J196" s="392"/>
      <c r="K196" s="622"/>
      <c r="L196" s="416"/>
      <c r="M196" s="370"/>
      <c r="N196" s="370"/>
    </row>
    <row r="197" spans="1:12" ht="18">
      <c r="A197" s="74" t="s">
        <v>437</v>
      </c>
      <c r="B197" s="365" t="s">
        <v>367</v>
      </c>
      <c r="C197" s="349">
        <v>2000000</v>
      </c>
      <c r="D197" s="401">
        <f aca="true" t="shared" si="23" ref="D197:D205">+C197/C$206</f>
        <v>0.3333333333333333</v>
      </c>
      <c r="E197" s="388">
        <f>+C197</f>
        <v>2000000</v>
      </c>
      <c r="F197" s="393">
        <f aca="true" t="shared" si="24" ref="F197:F205">+E197/E$239</f>
        <v>0.2222222222222222</v>
      </c>
      <c r="G197" s="388">
        <f>+C197</f>
        <v>2000000</v>
      </c>
      <c r="H197" s="393">
        <f aca="true" t="shared" si="25" ref="H197:H205">+G197/G$239</f>
        <v>0.17391304347826086</v>
      </c>
      <c r="I197" s="388">
        <f>+E197</f>
        <v>2000000</v>
      </c>
      <c r="J197" s="393">
        <f aca="true" t="shared" si="26" ref="J197:J205">+I197/I$239</f>
        <v>0.09302325581395349</v>
      </c>
      <c r="K197" s="324"/>
      <c r="L197" s="30" t="s">
        <v>446</v>
      </c>
    </row>
    <row r="198" spans="1:12" ht="18">
      <c r="A198" s="74" t="s">
        <v>413</v>
      </c>
      <c r="B198" s="365" t="s">
        <v>367</v>
      </c>
      <c r="C198" s="350">
        <v>800000</v>
      </c>
      <c r="D198" s="401">
        <f t="shared" si="23"/>
        <v>0.13333333333333333</v>
      </c>
      <c r="E198" s="388">
        <f aca="true" t="shared" si="27" ref="E198:E205">+C198</f>
        <v>800000</v>
      </c>
      <c r="F198" s="393">
        <f t="shared" si="24"/>
        <v>0.08888888888888889</v>
      </c>
      <c r="G198" s="388">
        <f aca="true" t="shared" si="28" ref="G198:G204">+C198</f>
        <v>800000</v>
      </c>
      <c r="H198" s="393">
        <f t="shared" si="25"/>
        <v>0.06956521739130435</v>
      </c>
      <c r="I198" s="388">
        <f aca="true" t="shared" si="29" ref="I198:I204">+E198</f>
        <v>800000</v>
      </c>
      <c r="J198" s="393">
        <f t="shared" si="26"/>
        <v>0.037209302325581395</v>
      </c>
      <c r="K198" s="623"/>
      <c r="L198" s="30" t="s">
        <v>523</v>
      </c>
    </row>
    <row r="199" spans="1:12" ht="18">
      <c r="A199" s="74" t="s">
        <v>416</v>
      </c>
      <c r="B199" s="348" t="s">
        <v>367</v>
      </c>
      <c r="C199" s="350">
        <v>800000</v>
      </c>
      <c r="D199" s="401">
        <f t="shared" si="23"/>
        <v>0.13333333333333333</v>
      </c>
      <c r="E199" s="388">
        <f t="shared" si="27"/>
        <v>800000</v>
      </c>
      <c r="F199" s="393">
        <f t="shared" si="24"/>
        <v>0.08888888888888889</v>
      </c>
      <c r="G199" s="388">
        <f t="shared" si="28"/>
        <v>800000</v>
      </c>
      <c r="H199" s="393">
        <f t="shared" si="25"/>
        <v>0.06956521739130435</v>
      </c>
      <c r="I199" s="388">
        <f t="shared" si="29"/>
        <v>800000</v>
      </c>
      <c r="J199" s="393">
        <f t="shared" si="26"/>
        <v>0.037209302325581395</v>
      </c>
      <c r="K199" s="623"/>
      <c r="L199" s="30" t="s">
        <v>524</v>
      </c>
    </row>
    <row r="200" spans="1:12" ht="18">
      <c r="A200" s="74" t="s">
        <v>407</v>
      </c>
      <c r="B200" s="348" t="s">
        <v>367</v>
      </c>
      <c r="C200" s="350">
        <v>800000</v>
      </c>
      <c r="D200" s="401">
        <f t="shared" si="23"/>
        <v>0.13333333333333333</v>
      </c>
      <c r="E200" s="388">
        <f t="shared" si="27"/>
        <v>800000</v>
      </c>
      <c r="F200" s="393">
        <f t="shared" si="24"/>
        <v>0.08888888888888889</v>
      </c>
      <c r="G200" s="388">
        <f t="shared" si="28"/>
        <v>800000</v>
      </c>
      <c r="H200" s="393">
        <f t="shared" si="25"/>
        <v>0.06956521739130435</v>
      </c>
      <c r="I200" s="388">
        <f t="shared" si="29"/>
        <v>800000</v>
      </c>
      <c r="J200" s="393">
        <f t="shared" si="26"/>
        <v>0.037209302325581395</v>
      </c>
      <c r="K200" s="623"/>
      <c r="L200" s="30" t="s">
        <v>525</v>
      </c>
    </row>
    <row r="201" spans="1:12" ht="18">
      <c r="A201" s="74" t="s">
        <v>393</v>
      </c>
      <c r="B201" s="348" t="s">
        <v>367</v>
      </c>
      <c r="C201" s="350">
        <v>800000</v>
      </c>
      <c r="D201" s="401">
        <f t="shared" si="23"/>
        <v>0.13333333333333333</v>
      </c>
      <c r="E201" s="388">
        <f t="shared" si="27"/>
        <v>800000</v>
      </c>
      <c r="F201" s="393">
        <f t="shared" si="24"/>
        <v>0.08888888888888889</v>
      </c>
      <c r="G201" s="388">
        <f t="shared" si="28"/>
        <v>800000</v>
      </c>
      <c r="H201" s="393">
        <f t="shared" si="25"/>
        <v>0.06956521739130435</v>
      </c>
      <c r="I201" s="388">
        <f t="shared" si="29"/>
        <v>800000</v>
      </c>
      <c r="J201" s="393">
        <f t="shared" si="26"/>
        <v>0.037209302325581395</v>
      </c>
      <c r="K201" s="324"/>
      <c r="L201" s="30" t="s">
        <v>526</v>
      </c>
    </row>
    <row r="202" spans="1:12" ht="18">
      <c r="A202" s="74" t="s">
        <v>542</v>
      </c>
      <c r="B202" s="365" t="s">
        <v>367</v>
      </c>
      <c r="C202" s="350">
        <v>800000</v>
      </c>
      <c r="D202" s="401">
        <f t="shared" si="23"/>
        <v>0.13333333333333333</v>
      </c>
      <c r="E202" s="388">
        <f t="shared" si="27"/>
        <v>800000</v>
      </c>
      <c r="F202" s="393">
        <f t="shared" si="24"/>
        <v>0.08888888888888889</v>
      </c>
      <c r="G202" s="388">
        <f t="shared" si="28"/>
        <v>800000</v>
      </c>
      <c r="H202" s="393">
        <f t="shared" si="25"/>
        <v>0.06956521739130435</v>
      </c>
      <c r="I202" s="388">
        <f t="shared" si="29"/>
        <v>800000</v>
      </c>
      <c r="J202" s="393">
        <f t="shared" si="26"/>
        <v>0.037209302325581395</v>
      </c>
      <c r="K202" s="324"/>
      <c r="L202" s="30" t="s">
        <v>527</v>
      </c>
    </row>
    <row r="203" spans="1:12" ht="18">
      <c r="A203" s="74"/>
      <c r="B203" s="365" t="s">
        <v>367</v>
      </c>
      <c r="C203" s="350"/>
      <c r="D203" s="401">
        <f t="shared" si="23"/>
        <v>0</v>
      </c>
      <c r="E203" s="388">
        <f t="shared" si="27"/>
        <v>0</v>
      </c>
      <c r="F203" s="393">
        <f t="shared" si="24"/>
        <v>0</v>
      </c>
      <c r="G203" s="388">
        <f t="shared" si="28"/>
        <v>0</v>
      </c>
      <c r="H203" s="393">
        <f t="shared" si="25"/>
        <v>0</v>
      </c>
      <c r="I203" s="388">
        <f t="shared" si="29"/>
        <v>0</v>
      </c>
      <c r="J203" s="393">
        <f t="shared" si="26"/>
        <v>0</v>
      </c>
      <c r="K203" s="324"/>
      <c r="L203" s="30" t="s">
        <v>529</v>
      </c>
    </row>
    <row r="204" spans="1:12" ht="18">
      <c r="A204" s="74" t="s">
        <v>408</v>
      </c>
      <c r="B204" s="365" t="s">
        <v>367</v>
      </c>
      <c r="C204" s="350">
        <v>0</v>
      </c>
      <c r="D204" s="401">
        <f t="shared" si="23"/>
        <v>0</v>
      </c>
      <c r="E204" s="388">
        <f t="shared" si="27"/>
        <v>0</v>
      </c>
      <c r="F204" s="393">
        <f t="shared" si="24"/>
        <v>0</v>
      </c>
      <c r="G204" s="388">
        <f t="shared" si="28"/>
        <v>0</v>
      </c>
      <c r="H204" s="393">
        <f t="shared" si="25"/>
        <v>0</v>
      </c>
      <c r="I204" s="388">
        <f t="shared" si="29"/>
        <v>0</v>
      </c>
      <c r="J204" s="393">
        <f t="shared" si="26"/>
        <v>0</v>
      </c>
      <c r="K204" s="324"/>
      <c r="L204" s="91" t="s">
        <v>551</v>
      </c>
    </row>
    <row r="205" spans="1:12" ht="18">
      <c r="A205" s="75"/>
      <c r="B205" s="395" t="s">
        <v>367</v>
      </c>
      <c r="C205" s="351"/>
      <c r="D205" s="397">
        <f t="shared" si="23"/>
        <v>0</v>
      </c>
      <c r="E205" s="396">
        <f t="shared" si="27"/>
        <v>0</v>
      </c>
      <c r="F205" s="397">
        <f t="shared" si="24"/>
        <v>0</v>
      </c>
      <c r="G205" s="396">
        <f>+C205</f>
        <v>0</v>
      </c>
      <c r="H205" s="397">
        <f t="shared" si="25"/>
        <v>0</v>
      </c>
      <c r="I205" s="396">
        <f>+E205</f>
        <v>0</v>
      </c>
      <c r="J205" s="397">
        <f t="shared" si="26"/>
        <v>0</v>
      </c>
      <c r="K205" s="311"/>
      <c r="L205" s="30" t="s">
        <v>541</v>
      </c>
    </row>
    <row r="206" spans="1:11" ht="18.75" thickBot="1">
      <c r="A206" s="352" t="s">
        <v>394</v>
      </c>
      <c r="B206" s="365"/>
      <c r="C206" s="114">
        <f aca="true" t="shared" si="30" ref="C206:K206">SUM(C197:C205)</f>
        <v>6000000</v>
      </c>
      <c r="D206" s="393">
        <f t="shared" si="30"/>
        <v>0.9999999999999999</v>
      </c>
      <c r="E206" s="388">
        <f t="shared" si="30"/>
        <v>6000000</v>
      </c>
      <c r="F206" s="398">
        <f t="shared" si="30"/>
        <v>0.6666666666666667</v>
      </c>
      <c r="G206" s="388">
        <f t="shared" si="30"/>
        <v>6000000</v>
      </c>
      <c r="H206" s="398">
        <f t="shared" si="30"/>
        <v>0.5217391304347826</v>
      </c>
      <c r="I206" s="388">
        <f t="shared" si="30"/>
        <v>6000000</v>
      </c>
      <c r="J206" s="398">
        <f t="shared" si="30"/>
        <v>0.27906976744186046</v>
      </c>
      <c r="K206" s="623">
        <f t="shared" si="30"/>
        <v>0</v>
      </c>
    </row>
    <row r="207" spans="1:12" ht="18.75" thickBot="1">
      <c r="A207" s="353" t="s">
        <v>368</v>
      </c>
      <c r="B207" s="365"/>
      <c r="C207" s="429">
        <v>0.01</v>
      </c>
      <c r="D207" s="393"/>
      <c r="E207" s="388"/>
      <c r="F207" s="398"/>
      <c r="G207" s="388"/>
      <c r="H207" s="398"/>
      <c r="I207" s="388"/>
      <c r="J207" s="398"/>
      <c r="K207" s="329"/>
      <c r="L207" s="30"/>
    </row>
    <row r="208" spans="1:12" ht="18">
      <c r="A208" s="358" t="s">
        <v>369</v>
      </c>
      <c r="B208" s="399"/>
      <c r="C208" s="400">
        <f>+C207*C239</f>
        <v>60000</v>
      </c>
      <c r="D208" s="401"/>
      <c r="E208" s="400"/>
      <c r="F208" s="402"/>
      <c r="G208" s="400"/>
      <c r="H208" s="402"/>
      <c r="I208" s="400"/>
      <c r="J208" s="402"/>
      <c r="K208" s="329"/>
      <c r="L208" s="30"/>
    </row>
    <row r="209" spans="1:12" ht="18">
      <c r="A209" s="352"/>
      <c r="B209" s="365"/>
      <c r="C209" s="388"/>
      <c r="D209" s="393"/>
      <c r="E209" s="388"/>
      <c r="F209" s="398"/>
      <c r="G209" s="388"/>
      <c r="H209" s="398"/>
      <c r="I209" s="388"/>
      <c r="J209" s="398"/>
      <c r="K209" s="329"/>
      <c r="L209" s="30"/>
    </row>
    <row r="210" spans="1:14" ht="18">
      <c r="A210" s="389" t="s">
        <v>489</v>
      </c>
      <c r="B210" s="390"/>
      <c r="C210" s="391"/>
      <c r="D210" s="390"/>
      <c r="E210" s="391" t="s">
        <v>370</v>
      </c>
      <c r="F210" s="392"/>
      <c r="G210" s="403"/>
      <c r="H210" s="392"/>
      <c r="I210" s="403"/>
      <c r="J210" s="392"/>
      <c r="K210" s="622"/>
      <c r="L210" s="416"/>
      <c r="M210" s="370"/>
      <c r="N210" s="370"/>
    </row>
    <row r="211" spans="1:12" ht="18">
      <c r="A211" s="74"/>
      <c r="B211" s="404" t="s">
        <v>371</v>
      </c>
      <c r="C211" s="354"/>
      <c r="D211" s="393"/>
      <c r="E211" s="349"/>
      <c r="F211" s="405">
        <f aca="true" t="shared" si="31" ref="F211:F216">+E211/E$239</f>
        <v>0</v>
      </c>
      <c r="G211" s="388">
        <f aca="true" t="shared" si="32" ref="G211:G216">+E211</f>
        <v>0</v>
      </c>
      <c r="H211" s="398">
        <f aca="true" t="shared" si="33" ref="H211:H216">+G211/G$239</f>
        <v>0</v>
      </c>
      <c r="I211" s="388">
        <f aca="true" t="shared" si="34" ref="I211:I216">+G211</f>
        <v>0</v>
      </c>
      <c r="J211" s="398">
        <f aca="true" t="shared" si="35" ref="J211:J216">+I211/I$239</f>
        <v>0</v>
      </c>
      <c r="K211" s="324">
        <f>+E211*E218</f>
        <v>0</v>
      </c>
      <c r="L211" s="30" t="s">
        <v>545</v>
      </c>
    </row>
    <row r="212" spans="1:12" ht="18">
      <c r="A212" s="74"/>
      <c r="B212" s="404" t="s">
        <v>371</v>
      </c>
      <c r="C212" s="354"/>
      <c r="D212" s="393"/>
      <c r="E212" s="350"/>
      <c r="F212" s="405">
        <f t="shared" si="31"/>
        <v>0</v>
      </c>
      <c r="G212" s="388">
        <f t="shared" si="32"/>
        <v>0</v>
      </c>
      <c r="H212" s="398">
        <f t="shared" si="33"/>
        <v>0</v>
      </c>
      <c r="I212" s="388">
        <f t="shared" si="34"/>
        <v>0</v>
      </c>
      <c r="J212" s="398">
        <f t="shared" si="35"/>
        <v>0</v>
      </c>
      <c r="K212" s="623"/>
      <c r="L212" s="30" t="s">
        <v>528</v>
      </c>
    </row>
    <row r="213" spans="1:12" ht="18">
      <c r="A213" s="357" t="s">
        <v>504</v>
      </c>
      <c r="B213" s="404" t="s">
        <v>371</v>
      </c>
      <c r="C213" s="354"/>
      <c r="D213" s="393"/>
      <c r="E213" s="350">
        <v>3000000</v>
      </c>
      <c r="F213" s="405">
        <f t="shared" si="31"/>
        <v>0.3333333333333333</v>
      </c>
      <c r="G213" s="388">
        <f t="shared" si="32"/>
        <v>3000000</v>
      </c>
      <c r="H213" s="398">
        <f t="shared" si="33"/>
        <v>0.2608695652173913</v>
      </c>
      <c r="I213" s="388">
        <f t="shared" si="34"/>
        <v>3000000</v>
      </c>
      <c r="J213" s="398">
        <f t="shared" si="35"/>
        <v>0.13953488372093023</v>
      </c>
      <c r="K213" s="623">
        <f>+E213*E$218</f>
        <v>1500000</v>
      </c>
      <c r="L213" s="30" t="s">
        <v>530</v>
      </c>
    </row>
    <row r="214" spans="1:12" ht="18">
      <c r="A214" s="74"/>
      <c r="B214" s="404" t="s">
        <v>371</v>
      </c>
      <c r="C214" s="354"/>
      <c r="D214" s="393"/>
      <c r="E214" s="350"/>
      <c r="F214" s="405">
        <f t="shared" si="31"/>
        <v>0</v>
      </c>
      <c r="G214" s="388">
        <f t="shared" si="32"/>
        <v>0</v>
      </c>
      <c r="H214" s="398">
        <f t="shared" si="33"/>
        <v>0</v>
      </c>
      <c r="I214" s="388">
        <f t="shared" si="34"/>
        <v>0</v>
      </c>
      <c r="J214" s="398">
        <f t="shared" si="35"/>
        <v>0</v>
      </c>
      <c r="K214" s="623"/>
      <c r="L214" s="30" t="s">
        <v>531</v>
      </c>
    </row>
    <row r="215" spans="1:12" ht="18">
      <c r="A215" s="357"/>
      <c r="B215" s="404" t="s">
        <v>371</v>
      </c>
      <c r="C215" s="354"/>
      <c r="D215" s="393"/>
      <c r="E215" s="350">
        <v>0</v>
      </c>
      <c r="F215" s="405">
        <f t="shared" si="31"/>
        <v>0</v>
      </c>
      <c r="G215" s="388">
        <f t="shared" si="32"/>
        <v>0</v>
      </c>
      <c r="H215" s="398">
        <f t="shared" si="33"/>
        <v>0</v>
      </c>
      <c r="I215" s="388">
        <f t="shared" si="34"/>
        <v>0</v>
      </c>
      <c r="J215" s="398">
        <f t="shared" si="35"/>
        <v>0</v>
      </c>
      <c r="K215" s="329"/>
      <c r="L215" s="30" t="s">
        <v>532</v>
      </c>
    </row>
    <row r="216" spans="1:12" ht="18">
      <c r="A216" s="75"/>
      <c r="B216" s="406" t="s">
        <v>371</v>
      </c>
      <c r="C216" s="154"/>
      <c r="D216" s="397"/>
      <c r="E216" s="351">
        <v>0</v>
      </c>
      <c r="F216" s="407">
        <f t="shared" si="31"/>
        <v>0</v>
      </c>
      <c r="G216" s="396">
        <f t="shared" si="32"/>
        <v>0</v>
      </c>
      <c r="H216" s="408">
        <f t="shared" si="33"/>
        <v>0</v>
      </c>
      <c r="I216" s="396">
        <f t="shared" si="34"/>
        <v>0</v>
      </c>
      <c r="J216" s="408">
        <f t="shared" si="35"/>
        <v>0</v>
      </c>
      <c r="K216" s="329"/>
      <c r="L216" s="30" t="s">
        <v>539</v>
      </c>
    </row>
    <row r="217" spans="1:11" ht="18.75" thickBot="1">
      <c r="A217" s="352" t="s">
        <v>372</v>
      </c>
      <c r="B217" s="404"/>
      <c r="C217" s="388"/>
      <c r="D217" s="365"/>
      <c r="E217" s="114">
        <f aca="true" t="shared" si="36" ref="E217:J217">SUM(E211:E216)</f>
        <v>3000000</v>
      </c>
      <c r="F217" s="398">
        <f t="shared" si="36"/>
        <v>0.3333333333333333</v>
      </c>
      <c r="G217" s="388">
        <f t="shared" si="36"/>
        <v>3000000</v>
      </c>
      <c r="H217" s="398">
        <f t="shared" si="36"/>
        <v>0.2608695652173913</v>
      </c>
      <c r="I217" s="388">
        <f t="shared" si="36"/>
        <v>3000000</v>
      </c>
      <c r="J217" s="398">
        <f t="shared" si="36"/>
        <v>0.13953488372093023</v>
      </c>
      <c r="K217" s="329"/>
    </row>
    <row r="218" spans="1:12" ht="18.75" thickBot="1">
      <c r="A218" s="358" t="s">
        <v>368</v>
      </c>
      <c r="B218" s="399"/>
      <c r="C218" s="409"/>
      <c r="D218" s="401"/>
      <c r="E218" s="429">
        <v>0.5</v>
      </c>
      <c r="F218" s="402"/>
      <c r="G218" s="400"/>
      <c r="H218" s="402"/>
      <c r="I218" s="400"/>
      <c r="J218" s="402"/>
      <c r="K218" s="329"/>
      <c r="L218" s="30"/>
    </row>
    <row r="219" spans="1:12" ht="18">
      <c r="A219" s="358" t="s">
        <v>369</v>
      </c>
      <c r="B219" s="399"/>
      <c r="C219" s="400"/>
      <c r="D219" s="401"/>
      <c r="E219" s="400">
        <f>+E218*E239</f>
        <v>4500000</v>
      </c>
      <c r="F219" s="402"/>
      <c r="G219" s="400"/>
      <c r="H219" s="402"/>
      <c r="I219" s="400"/>
      <c r="J219" s="402"/>
      <c r="K219" s="329"/>
      <c r="L219" s="30"/>
    </row>
    <row r="220" spans="1:12" ht="18">
      <c r="A220" s="364"/>
      <c r="B220" s="410"/>
      <c r="C220" s="400"/>
      <c r="D220" s="399"/>
      <c r="E220" s="400"/>
      <c r="F220" s="402"/>
      <c r="G220" s="400"/>
      <c r="H220" s="402"/>
      <c r="I220" s="400"/>
      <c r="J220" s="402"/>
      <c r="K220" s="329"/>
      <c r="L220" s="30"/>
    </row>
    <row r="221" spans="1:14" ht="18">
      <c r="A221" s="389" t="s">
        <v>490</v>
      </c>
      <c r="B221" s="411"/>
      <c r="C221" s="403"/>
      <c r="D221" s="390"/>
      <c r="E221" s="403"/>
      <c r="F221" s="390"/>
      <c r="G221" s="391" t="s">
        <v>370</v>
      </c>
      <c r="H221" s="392"/>
      <c r="I221" s="391"/>
      <c r="J221" s="392"/>
      <c r="K221" s="622"/>
      <c r="L221" s="416"/>
      <c r="M221" s="370"/>
      <c r="N221" s="370"/>
    </row>
    <row r="222" spans="1:12" ht="18">
      <c r="A222" s="357"/>
      <c r="B222" s="404" t="s">
        <v>373</v>
      </c>
      <c r="C222" s="388"/>
      <c r="D222" s="365"/>
      <c r="E222" s="388"/>
      <c r="F222" s="365"/>
      <c r="G222" s="349">
        <v>0</v>
      </c>
      <c r="H222" s="398">
        <f>IF(G$227=0,0,+G222/G$227)</f>
        <v>0</v>
      </c>
      <c r="I222" s="354"/>
      <c r="J222" s="398">
        <f>IF(I$227=0,0,+I222/I$227)</f>
        <v>0</v>
      </c>
      <c r="K222" s="324">
        <f>+G222*G228</f>
        <v>0</v>
      </c>
      <c r="L222" s="30" t="s">
        <v>546</v>
      </c>
    </row>
    <row r="223" spans="1:12" ht="18">
      <c r="A223" s="357"/>
      <c r="B223" s="404" t="s">
        <v>373</v>
      </c>
      <c r="C223" s="388"/>
      <c r="D223" s="365"/>
      <c r="E223" s="388"/>
      <c r="F223" s="365"/>
      <c r="G223" s="350">
        <v>0</v>
      </c>
      <c r="H223" s="398">
        <f>IF(G$227=0,0,+G223/G$227)</f>
        <v>0</v>
      </c>
      <c r="I223" s="354"/>
      <c r="J223" s="398">
        <f>IF(I$227=0,0,+I223/I$227)</f>
        <v>0</v>
      </c>
      <c r="K223" s="324"/>
      <c r="L223" s="30" t="s">
        <v>533</v>
      </c>
    </row>
    <row r="224" spans="1:12" ht="18">
      <c r="A224" s="357" t="s">
        <v>505</v>
      </c>
      <c r="B224" s="404" t="s">
        <v>373</v>
      </c>
      <c r="C224" s="388"/>
      <c r="D224" s="365"/>
      <c r="E224" s="388"/>
      <c r="F224" s="365"/>
      <c r="G224" s="350">
        <v>2500000</v>
      </c>
      <c r="H224" s="398">
        <f>IF(G$227=0,0,+G224/G$239)</f>
        <v>0.21739130434782608</v>
      </c>
      <c r="I224" s="119">
        <f>+G224</f>
        <v>2500000</v>
      </c>
      <c r="J224" s="398">
        <f>+G224/I$239</f>
        <v>0.11627906976744186</v>
      </c>
      <c r="K224" s="623">
        <f>+G224*G$228</f>
        <v>5000000</v>
      </c>
      <c r="L224" s="18" t="s">
        <v>537</v>
      </c>
    </row>
    <row r="225" spans="1:12" ht="18">
      <c r="A225" s="74"/>
      <c r="B225" s="404" t="s">
        <v>373</v>
      </c>
      <c r="C225" s="388"/>
      <c r="D225" s="365"/>
      <c r="E225" s="388"/>
      <c r="F225" s="365"/>
      <c r="G225" s="350">
        <v>0</v>
      </c>
      <c r="H225" s="398">
        <f>IF(G$227=0,0,+G225/G$227)</f>
        <v>0</v>
      </c>
      <c r="I225" s="354"/>
      <c r="J225" s="398">
        <f>IF(I$227=0,0,+I225/I$227)</f>
        <v>0</v>
      </c>
      <c r="K225" s="623"/>
      <c r="L225" s="30" t="s">
        <v>534</v>
      </c>
    </row>
    <row r="226" spans="1:12" ht="18">
      <c r="A226" s="75"/>
      <c r="B226" s="406" t="s">
        <v>373</v>
      </c>
      <c r="C226" s="396"/>
      <c r="D226" s="395"/>
      <c r="E226" s="396"/>
      <c r="F226" s="395"/>
      <c r="G226" s="351">
        <v>0</v>
      </c>
      <c r="H226" s="407">
        <f>IF(G$227=0,0,+G226/G$227)</f>
        <v>0</v>
      </c>
      <c r="I226" s="154"/>
      <c r="J226" s="408">
        <f>IF(I$227=0,0,+I226/I$227)</f>
        <v>0</v>
      </c>
      <c r="K226" s="329"/>
      <c r="L226" s="30" t="s">
        <v>538</v>
      </c>
    </row>
    <row r="227" spans="1:12" ht="18.75" thickBot="1">
      <c r="A227" s="352" t="s">
        <v>374</v>
      </c>
      <c r="B227" s="365"/>
      <c r="C227" s="365"/>
      <c r="D227" s="365"/>
      <c r="E227" s="388"/>
      <c r="F227" s="365"/>
      <c r="G227" s="114">
        <f>SUM(G222:G226)</f>
        <v>2500000</v>
      </c>
      <c r="H227" s="398">
        <f>SUM(H222:H226)</f>
        <v>0.21739130434782608</v>
      </c>
      <c r="I227" s="119"/>
      <c r="J227" s="398">
        <f>SUM(J222:J226)</f>
        <v>0.11627906976744186</v>
      </c>
      <c r="K227" s="329"/>
      <c r="L227" s="30" t="s">
        <v>535</v>
      </c>
    </row>
    <row r="228" spans="1:12" ht="18.75" thickBot="1">
      <c r="A228" s="358" t="s">
        <v>368</v>
      </c>
      <c r="B228" s="399"/>
      <c r="C228" s="409"/>
      <c r="D228" s="401"/>
      <c r="E228" s="409"/>
      <c r="F228" s="402"/>
      <c r="G228" s="429">
        <v>2</v>
      </c>
      <c r="H228" s="402"/>
      <c r="I228" s="573"/>
      <c r="J228" s="402"/>
      <c r="K228" s="329"/>
      <c r="L228" s="30" t="s">
        <v>536</v>
      </c>
    </row>
    <row r="229" spans="1:12" ht="18">
      <c r="A229" s="358" t="s">
        <v>369</v>
      </c>
      <c r="B229" s="399"/>
      <c r="C229" s="400"/>
      <c r="D229" s="401"/>
      <c r="E229" s="400"/>
      <c r="F229" s="402"/>
      <c r="G229" s="400">
        <f>+G228*G239</f>
        <v>23000000</v>
      </c>
      <c r="H229" s="402"/>
      <c r="I229" s="400"/>
      <c r="J229" s="402"/>
      <c r="K229" s="329"/>
      <c r="L229" s="30" t="s">
        <v>540</v>
      </c>
    </row>
    <row r="230" spans="1:11" ht="18">
      <c r="A230" s="358"/>
      <c r="B230" s="399"/>
      <c r="C230" s="400"/>
      <c r="D230" s="401"/>
      <c r="E230" s="400"/>
      <c r="F230" s="402"/>
      <c r="G230" s="400"/>
      <c r="H230" s="402"/>
      <c r="I230" s="400"/>
      <c r="J230" s="402"/>
      <c r="K230" s="329"/>
    </row>
    <row r="231" spans="1:14" ht="18">
      <c r="A231" s="389" t="s">
        <v>491</v>
      </c>
      <c r="B231" s="412"/>
      <c r="C231" s="413"/>
      <c r="D231" s="414"/>
      <c r="E231" s="413"/>
      <c r="F231" s="415"/>
      <c r="G231" s="413"/>
      <c r="H231" s="415"/>
      <c r="I231" s="413"/>
      <c r="J231" s="415"/>
      <c r="K231" s="622"/>
      <c r="L231" s="370"/>
      <c r="M231" s="370"/>
      <c r="N231" s="370"/>
    </row>
    <row r="232" spans="1:12" ht="18">
      <c r="A232" s="357" t="s">
        <v>506</v>
      </c>
      <c r="B232" s="404" t="s">
        <v>492</v>
      </c>
      <c r="C232" s="388"/>
      <c r="D232" s="365"/>
      <c r="E232" s="388"/>
      <c r="F232" s="365"/>
      <c r="G232" s="365"/>
      <c r="I232" s="350">
        <v>10000000</v>
      </c>
      <c r="J232" s="402">
        <f>+I232/I239</f>
        <v>0.46511627906976744</v>
      </c>
      <c r="K232" s="623">
        <f>+I232*I235</f>
        <v>100000000</v>
      </c>
      <c r="L232" s="30" t="s">
        <v>547</v>
      </c>
    </row>
    <row r="233" spans="1:12" ht="18">
      <c r="A233" s="75"/>
      <c r="B233" s="406" t="s">
        <v>492</v>
      </c>
      <c r="C233" s="396"/>
      <c r="D233" s="395"/>
      <c r="E233" s="396"/>
      <c r="F233" s="395"/>
      <c r="G233" s="395"/>
      <c r="H233" s="421"/>
      <c r="I233" s="351">
        <v>0</v>
      </c>
      <c r="J233" s="402"/>
      <c r="K233" s="329"/>
      <c r="L233" s="30" t="s">
        <v>543</v>
      </c>
    </row>
    <row r="234" spans="1:12" ht="18.75" thickBot="1">
      <c r="A234" s="352" t="s">
        <v>509</v>
      </c>
      <c r="B234" s="365"/>
      <c r="C234" s="365"/>
      <c r="D234" s="365"/>
      <c r="E234" s="388"/>
      <c r="F234" s="365"/>
      <c r="G234" s="365"/>
      <c r="I234" s="114">
        <f>SUM(I232:I233)</f>
        <v>10000000</v>
      </c>
      <c r="J234" s="402"/>
      <c r="K234" s="329"/>
      <c r="L234" s="30" t="s">
        <v>544</v>
      </c>
    </row>
    <row r="235" spans="1:12" ht="18.75" thickBot="1">
      <c r="A235" s="358" t="s">
        <v>368</v>
      </c>
      <c r="B235" s="399"/>
      <c r="C235" s="409"/>
      <c r="D235" s="401"/>
      <c r="E235" s="409"/>
      <c r="F235" s="402"/>
      <c r="G235" s="402"/>
      <c r="I235" s="429">
        <v>10</v>
      </c>
      <c r="J235" s="402"/>
      <c r="K235" s="329"/>
      <c r="L235" s="30" t="s">
        <v>548</v>
      </c>
    </row>
    <row r="236" spans="1:11" ht="18">
      <c r="A236" s="358" t="s">
        <v>369</v>
      </c>
      <c r="B236" s="399"/>
      <c r="C236" s="400"/>
      <c r="D236" s="401"/>
      <c r="E236" s="400"/>
      <c r="F236" s="402"/>
      <c r="G236" s="400"/>
      <c r="I236" s="319">
        <f>+I239*I235</f>
        <v>215000000</v>
      </c>
      <c r="J236" s="599" t="s">
        <v>502</v>
      </c>
      <c r="K236" s="329"/>
    </row>
    <row r="237" spans="1:12" ht="18">
      <c r="A237" s="358"/>
      <c r="B237" s="399"/>
      <c r="C237" s="400"/>
      <c r="D237" s="401"/>
      <c r="E237" s="400"/>
      <c r="F237" s="402"/>
      <c r="G237" s="400"/>
      <c r="H237" s="402"/>
      <c r="I237" s="400"/>
      <c r="J237" s="402"/>
      <c r="K237" s="329"/>
      <c r="L237" s="394"/>
    </row>
    <row r="238" spans="1:12" ht="18">
      <c r="A238" s="358"/>
      <c r="B238" s="399"/>
      <c r="C238" s="400"/>
      <c r="D238" s="401"/>
      <c r="E238" s="400"/>
      <c r="F238" s="402"/>
      <c r="G238" s="400"/>
      <c r="H238" s="402"/>
      <c r="I238" s="400"/>
      <c r="J238" s="401"/>
      <c r="K238" s="329"/>
      <c r="L238" s="394"/>
    </row>
    <row r="239" spans="1:11" ht="18">
      <c r="A239" s="355" t="s">
        <v>375</v>
      </c>
      <c r="B239" s="417"/>
      <c r="C239" s="417">
        <f>+C206</f>
        <v>6000000</v>
      </c>
      <c r="D239" s="417"/>
      <c r="E239" s="417">
        <f>+C239+E217</f>
        <v>9000000</v>
      </c>
      <c r="F239" s="417"/>
      <c r="G239" s="417">
        <f>+E239+G227</f>
        <v>11500000</v>
      </c>
      <c r="H239" s="596"/>
      <c r="I239" s="418">
        <f>+G239+I234</f>
        <v>21500000</v>
      </c>
      <c r="J239" s="402"/>
      <c r="K239" s="329"/>
    </row>
    <row r="240" spans="1:16" s="5" customFormat="1" ht="18">
      <c r="A240" s="30" t="str">
        <f>+A$41</f>
        <v>MyCo</v>
      </c>
      <c r="B240" s="30"/>
      <c r="C240" s="30"/>
      <c r="D240" s="30"/>
      <c r="E240" s="30"/>
      <c r="F240" s="30"/>
      <c r="G240" s="30"/>
      <c r="H240" s="402"/>
      <c r="J240" s="402"/>
      <c r="K240" s="30"/>
      <c r="L240" s="30"/>
      <c r="M240" s="30"/>
      <c r="N240" s="30"/>
      <c r="O240" s="30"/>
      <c r="P240" s="18"/>
    </row>
    <row r="241" spans="1:16" s="5" customFormat="1" ht="27.75">
      <c r="A241" s="548" t="s">
        <v>486</v>
      </c>
      <c r="B241" s="30"/>
      <c r="C241" s="30"/>
      <c r="E241" s="30"/>
      <c r="G241" s="30"/>
      <c r="H241" s="402"/>
      <c r="I241" s="30"/>
      <c r="J241" s="30"/>
      <c r="K241" s="30"/>
      <c r="L241" s="30"/>
      <c r="M241" s="30"/>
      <c r="N241" s="549" t="s">
        <v>0</v>
      </c>
      <c r="O241" s="18"/>
      <c r="P241" s="18"/>
    </row>
    <row r="242" spans="1:16" s="5" customFormat="1" ht="27.75">
      <c r="A242" s="548"/>
      <c r="B242" s="30"/>
      <c r="C242" s="30"/>
      <c r="D242" s="166"/>
      <c r="E242" s="30"/>
      <c r="G242" s="30"/>
      <c r="H242" s="30"/>
      <c r="I242" s="30"/>
      <c r="J242" s="30"/>
      <c r="K242" s="30"/>
      <c r="L242" s="30"/>
      <c r="M242" s="30"/>
      <c r="N242" s="30"/>
      <c r="O242" s="18"/>
      <c r="P242" s="18"/>
    </row>
    <row r="243" spans="1:16" s="5" customFormat="1" ht="18">
      <c r="A243" s="303"/>
      <c r="B243" s="30"/>
      <c r="C243" s="30"/>
      <c r="D243" s="30"/>
      <c r="E243" s="30"/>
      <c r="F243" s="30"/>
      <c r="G243" s="30"/>
      <c r="H243" s="30"/>
      <c r="I243" s="30"/>
      <c r="J243" s="30"/>
      <c r="K243" s="30"/>
      <c r="L243" s="30"/>
      <c r="M243" s="30"/>
      <c r="N243" s="30"/>
      <c r="O243" s="18"/>
      <c r="P243" s="18"/>
    </row>
    <row r="244" spans="1:16" s="5" customFormat="1" ht="18">
      <c r="A244" s="343"/>
      <c r="B244" s="343"/>
      <c r="C244" s="362" t="s">
        <v>364</v>
      </c>
      <c r="D244" s="550" t="s">
        <v>364</v>
      </c>
      <c r="E244" s="362" t="s">
        <v>489</v>
      </c>
      <c r="F244" s="551" t="s">
        <v>489</v>
      </c>
      <c r="G244" s="362" t="s">
        <v>490</v>
      </c>
      <c r="H244" s="551" t="s">
        <v>490</v>
      </c>
      <c r="I244" s="362" t="s">
        <v>491</v>
      </c>
      <c r="J244" s="551" t="s">
        <v>491</v>
      </c>
      <c r="K244" s="360"/>
      <c r="L244" s="18"/>
      <c r="M244" s="18"/>
      <c r="N244" s="18"/>
      <c r="O244" s="18"/>
      <c r="P244" s="18"/>
    </row>
    <row r="245" spans="1:16" s="5" customFormat="1" ht="18.75" thickBot="1">
      <c r="A245" s="356" t="s">
        <v>388</v>
      </c>
      <c r="B245" s="344" t="s">
        <v>365</v>
      </c>
      <c r="C245" s="361" t="s">
        <v>487</v>
      </c>
      <c r="D245" s="552" t="s">
        <v>488</v>
      </c>
      <c r="E245" s="361" t="s">
        <v>487</v>
      </c>
      <c r="F245" s="346" t="s">
        <v>488</v>
      </c>
      <c r="G245" s="361" t="s">
        <v>487</v>
      </c>
      <c r="H245" s="347" t="s">
        <v>488</v>
      </c>
      <c r="I245" s="361" t="s">
        <v>487</v>
      </c>
      <c r="J245" s="347" t="s">
        <v>488</v>
      </c>
      <c r="K245" s="363"/>
      <c r="L245" s="387"/>
      <c r="M245" s="363"/>
      <c r="N245" s="363"/>
      <c r="O245" s="18"/>
      <c r="P245" s="18"/>
    </row>
    <row r="246" spans="1:16" s="5" customFormat="1" ht="18">
      <c r="A246" s="365"/>
      <c r="B246" s="365"/>
      <c r="C246" s="388"/>
      <c r="D246" s="365"/>
      <c r="E246" s="365"/>
      <c r="F246" s="365"/>
      <c r="G246" s="365"/>
      <c r="H246" s="365"/>
      <c r="I246" s="365"/>
      <c r="J246" s="365"/>
      <c r="K246" s="18"/>
      <c r="L246" s="537"/>
      <c r="M246" s="18"/>
      <c r="N246" s="18"/>
      <c r="O246" s="18"/>
      <c r="P246" s="18"/>
    </row>
    <row r="247" spans="1:16" s="5" customFormat="1" ht="20.25">
      <c r="A247" s="553" t="s">
        <v>480</v>
      </c>
      <c r="B247" s="554"/>
      <c r="C247" s="555" t="s">
        <v>370</v>
      </c>
      <c r="D247" s="554"/>
      <c r="E247" s="554"/>
      <c r="F247" s="556"/>
      <c r="G247" s="554"/>
      <c r="H247" s="556"/>
      <c r="I247" s="554"/>
      <c r="J247" s="556"/>
      <c r="K247" s="557"/>
      <c r="L247" s="558"/>
      <c r="M247" s="557"/>
      <c r="N247" s="557"/>
      <c r="O247" s="18"/>
      <c r="P247" s="18"/>
    </row>
    <row r="248" spans="1:16" s="5" customFormat="1" ht="18">
      <c r="A248" s="18" t="str">
        <f>+A197</f>
        <v>Founder</v>
      </c>
      <c r="B248" s="404" t="str">
        <f>+B197</f>
        <v>Common</v>
      </c>
      <c r="C248" s="559">
        <f aca="true" t="shared" si="37" ref="C248:C255">+D197</f>
        <v>0.3333333333333333</v>
      </c>
      <c r="D248" s="560">
        <f>+C248*$C$208</f>
        <v>20000</v>
      </c>
      <c r="E248" s="559">
        <f aca="true" t="shared" si="38" ref="E248:E255">+F197</f>
        <v>0.2222222222222222</v>
      </c>
      <c r="F248" s="560">
        <f>+E248*E$219</f>
        <v>1000000</v>
      </c>
      <c r="G248" s="559">
        <f aca="true" t="shared" si="39" ref="G248:G255">+H197</f>
        <v>0.17391304347826086</v>
      </c>
      <c r="H248" s="560">
        <f>+G248*G$229</f>
        <v>4000000</v>
      </c>
      <c r="I248" s="559">
        <f aca="true" t="shared" si="40" ref="I248:I255">+J197</f>
        <v>0.09302325581395349</v>
      </c>
      <c r="J248" s="560">
        <f>+I248*I$236</f>
        <v>20000000</v>
      </c>
      <c r="K248" s="302"/>
      <c r="L248" s="562"/>
      <c r="M248" s="678" t="s">
        <v>499</v>
      </c>
      <c r="N248" s="679"/>
      <c r="O248" s="18"/>
      <c r="P248" s="18"/>
    </row>
    <row r="249" spans="1:16" s="5" customFormat="1" ht="18">
      <c r="A249" s="18" t="str">
        <f aca="true" t="shared" si="41" ref="A249:A255">+A198</f>
        <v>President</v>
      </c>
      <c r="B249" s="404" t="str">
        <f aca="true" t="shared" si="42" ref="B249:B254">+B198</f>
        <v>Common</v>
      </c>
      <c r="C249" s="559">
        <f t="shared" si="37"/>
        <v>0.13333333333333333</v>
      </c>
      <c r="D249" s="560">
        <f aca="true" t="shared" si="43" ref="D249:D255">+C249*$C$208</f>
        <v>8000</v>
      </c>
      <c r="E249" s="559">
        <f t="shared" si="38"/>
        <v>0.08888888888888889</v>
      </c>
      <c r="F249" s="560">
        <f aca="true" t="shared" si="44" ref="F249:F256">+E249*E$219</f>
        <v>400000</v>
      </c>
      <c r="G249" s="559">
        <f t="shared" si="39"/>
        <v>0.06956521739130435</v>
      </c>
      <c r="H249" s="560">
        <f aca="true" t="shared" si="45" ref="H249:H258">+G249*G$229</f>
        <v>1600000</v>
      </c>
      <c r="I249" s="559">
        <f t="shared" si="40"/>
        <v>0.037209302325581395</v>
      </c>
      <c r="J249" s="560">
        <f aca="true" t="shared" si="46" ref="J249:J258">+I249*I$236</f>
        <v>8000000</v>
      </c>
      <c r="K249" s="359"/>
      <c r="L249" s="562"/>
      <c r="O249" s="18"/>
      <c r="P249" s="18"/>
    </row>
    <row r="250" spans="1:16" s="5" customFormat="1" ht="18">
      <c r="A250" s="18" t="str">
        <f t="shared" si="41"/>
        <v>VP Marketing</v>
      </c>
      <c r="B250" s="404" t="str">
        <f t="shared" si="42"/>
        <v>Common</v>
      </c>
      <c r="C250" s="559">
        <f t="shared" si="37"/>
        <v>0.13333333333333333</v>
      </c>
      <c r="D250" s="560">
        <f t="shared" si="43"/>
        <v>8000</v>
      </c>
      <c r="E250" s="559">
        <f t="shared" si="38"/>
        <v>0.08888888888888889</v>
      </c>
      <c r="F250" s="560">
        <f t="shared" si="44"/>
        <v>400000</v>
      </c>
      <c r="G250" s="559">
        <f t="shared" si="39"/>
        <v>0.06956521739130435</v>
      </c>
      <c r="H250" s="560">
        <f t="shared" si="45"/>
        <v>1600000</v>
      </c>
      <c r="I250" s="559">
        <f t="shared" si="40"/>
        <v>0.037209302325581395</v>
      </c>
      <c r="J250" s="560">
        <f t="shared" si="46"/>
        <v>8000000</v>
      </c>
      <c r="K250" s="359"/>
      <c r="L250" s="538"/>
      <c r="M250" s="563" t="s">
        <v>500</v>
      </c>
      <c r="N250" s="302"/>
      <c r="O250" s="18"/>
      <c r="P250" s="18"/>
    </row>
    <row r="251" spans="1:16" s="5" customFormat="1" ht="18">
      <c r="A251" s="18" t="str">
        <f t="shared" si="41"/>
        <v>COO</v>
      </c>
      <c r="B251" s="404" t="str">
        <f t="shared" si="42"/>
        <v>Common</v>
      </c>
      <c r="C251" s="559">
        <f t="shared" si="37"/>
        <v>0.13333333333333333</v>
      </c>
      <c r="D251" s="560">
        <f t="shared" si="43"/>
        <v>8000</v>
      </c>
      <c r="E251" s="559">
        <f t="shared" si="38"/>
        <v>0.08888888888888889</v>
      </c>
      <c r="F251" s="560">
        <f t="shared" si="44"/>
        <v>400000</v>
      </c>
      <c r="G251" s="559">
        <f t="shared" si="39"/>
        <v>0.06956521739130435</v>
      </c>
      <c r="H251" s="560">
        <f t="shared" si="45"/>
        <v>1600000</v>
      </c>
      <c r="I251" s="559">
        <f t="shared" si="40"/>
        <v>0.037209302325581395</v>
      </c>
      <c r="J251" s="560">
        <f t="shared" si="46"/>
        <v>8000000</v>
      </c>
      <c r="K251" s="359"/>
      <c r="L251" s="538"/>
      <c r="M251" s="564" t="s">
        <v>496</v>
      </c>
      <c r="N251" s="565">
        <v>0.06</v>
      </c>
      <c r="O251" s="18"/>
      <c r="P251" s="18"/>
    </row>
    <row r="252" spans="1:16" s="5" customFormat="1" ht="18">
      <c r="A252" s="18" t="str">
        <f t="shared" si="41"/>
        <v>CFO</v>
      </c>
      <c r="B252" s="404" t="str">
        <f t="shared" si="42"/>
        <v>Common</v>
      </c>
      <c r="C252" s="559">
        <f t="shared" si="37"/>
        <v>0.13333333333333333</v>
      </c>
      <c r="D252" s="560">
        <f t="shared" si="43"/>
        <v>8000</v>
      </c>
      <c r="E252" s="559">
        <f t="shared" si="38"/>
        <v>0.08888888888888889</v>
      </c>
      <c r="F252" s="560">
        <f t="shared" si="44"/>
        <v>400000</v>
      </c>
      <c r="G252" s="559">
        <f t="shared" si="39"/>
        <v>0.06956521739130435</v>
      </c>
      <c r="H252" s="560">
        <f t="shared" si="45"/>
        <v>1600000</v>
      </c>
      <c r="I252" s="559">
        <f t="shared" si="40"/>
        <v>0.037209302325581395</v>
      </c>
      <c r="J252" s="560">
        <f t="shared" si="46"/>
        <v>8000000</v>
      </c>
      <c r="K252" s="302"/>
      <c r="L252" s="330"/>
      <c r="M252" s="262" t="s">
        <v>495</v>
      </c>
      <c r="N252" s="566"/>
      <c r="O252" s="18"/>
      <c r="P252" s="18"/>
    </row>
    <row r="253" spans="1:16" s="5" customFormat="1" ht="18">
      <c r="A253" s="18" t="str">
        <f t="shared" si="41"/>
        <v>CTO</v>
      </c>
      <c r="B253" s="404" t="str">
        <f t="shared" si="42"/>
        <v>Common</v>
      </c>
      <c r="C253" s="559">
        <f t="shared" si="37"/>
        <v>0.13333333333333333</v>
      </c>
      <c r="D253" s="560">
        <f t="shared" si="43"/>
        <v>8000</v>
      </c>
      <c r="E253" s="559">
        <f t="shared" si="38"/>
        <v>0.08888888888888889</v>
      </c>
      <c r="F253" s="560">
        <f t="shared" si="44"/>
        <v>400000</v>
      </c>
      <c r="G253" s="559">
        <f t="shared" si="39"/>
        <v>0.06956521739130435</v>
      </c>
      <c r="H253" s="560">
        <f t="shared" si="45"/>
        <v>1600000</v>
      </c>
      <c r="I253" s="559">
        <f t="shared" si="40"/>
        <v>0.037209302325581395</v>
      </c>
      <c r="J253" s="560">
        <f t="shared" si="46"/>
        <v>8000000</v>
      </c>
      <c r="K253" s="302"/>
      <c r="L253" s="330"/>
      <c r="M253" s="262" t="s">
        <v>497</v>
      </c>
      <c r="N253" s="262" t="s">
        <v>498</v>
      </c>
      <c r="O253" s="18"/>
      <c r="P253" s="18"/>
    </row>
    <row r="254" spans="1:16" s="5" customFormat="1" ht="18">
      <c r="A254" s="18"/>
      <c r="B254" s="404" t="str">
        <f t="shared" si="42"/>
        <v>Common</v>
      </c>
      <c r="C254" s="559">
        <f t="shared" si="37"/>
        <v>0</v>
      </c>
      <c r="D254" s="560">
        <f t="shared" si="43"/>
        <v>0</v>
      </c>
      <c r="E254" s="559">
        <f t="shared" si="38"/>
        <v>0</v>
      </c>
      <c r="F254" s="560">
        <f t="shared" si="44"/>
        <v>0</v>
      </c>
      <c r="G254" s="559">
        <f t="shared" si="39"/>
        <v>0</v>
      </c>
      <c r="H254" s="560">
        <f t="shared" si="45"/>
        <v>0</v>
      </c>
      <c r="I254" s="559">
        <f t="shared" si="40"/>
        <v>0</v>
      </c>
      <c r="J254" s="560">
        <f t="shared" si="46"/>
        <v>0</v>
      </c>
      <c r="K254" s="567"/>
      <c r="L254" s="330"/>
      <c r="M254" s="18"/>
      <c r="N254" s="18"/>
      <c r="O254" s="18"/>
      <c r="P254" s="18"/>
    </row>
    <row r="255" spans="1:16" s="5" customFormat="1" ht="18">
      <c r="A255" s="18" t="str">
        <f t="shared" si="41"/>
        <v>Employee Stock Options</v>
      </c>
      <c r="B255" s="404" t="str">
        <f>+B204</f>
        <v>Common</v>
      </c>
      <c r="C255" s="559">
        <f t="shared" si="37"/>
        <v>0</v>
      </c>
      <c r="D255" s="560">
        <f t="shared" si="43"/>
        <v>0</v>
      </c>
      <c r="E255" s="559">
        <f t="shared" si="38"/>
        <v>0</v>
      </c>
      <c r="F255" s="560">
        <f t="shared" si="44"/>
        <v>0</v>
      </c>
      <c r="G255" s="559">
        <f t="shared" si="39"/>
        <v>0</v>
      </c>
      <c r="H255" s="560">
        <f t="shared" si="45"/>
        <v>0</v>
      </c>
      <c r="I255" s="559">
        <f t="shared" si="40"/>
        <v>0</v>
      </c>
      <c r="J255" s="560">
        <f t="shared" si="46"/>
        <v>0</v>
      </c>
      <c r="K255" s="567"/>
      <c r="L255" s="330"/>
      <c r="M255" s="18"/>
      <c r="N255" s="18"/>
      <c r="O255" s="18"/>
      <c r="P255" s="18"/>
    </row>
    <row r="256" spans="1:16" s="5" customFormat="1" ht="18">
      <c r="A256" s="18" t="str">
        <f>+A213</f>
        <v>A Round Investors</v>
      </c>
      <c r="B256" s="404" t="str">
        <f>+B213</f>
        <v>Pfd A</v>
      </c>
      <c r="C256" s="559"/>
      <c r="D256" s="560"/>
      <c r="E256" s="401">
        <f>+F213</f>
        <v>0.3333333333333333</v>
      </c>
      <c r="F256" s="560">
        <f t="shared" si="44"/>
        <v>1500000</v>
      </c>
      <c r="G256" s="559">
        <f>+H217</f>
        <v>0.2608695652173913</v>
      </c>
      <c r="H256" s="560">
        <f t="shared" si="45"/>
        <v>6000000</v>
      </c>
      <c r="I256" s="559">
        <f>+J213</f>
        <v>0.13953488372093023</v>
      </c>
      <c r="J256" s="560">
        <f t="shared" si="46"/>
        <v>30000000</v>
      </c>
      <c r="K256" s="567"/>
      <c r="L256" s="330"/>
      <c r="M256" s="18"/>
      <c r="N256" s="18"/>
      <c r="O256" s="18"/>
      <c r="P256" s="18"/>
    </row>
    <row r="257" spans="1:16" s="5" customFormat="1" ht="18">
      <c r="A257" s="568" t="str">
        <f>+A224</f>
        <v>B Round Investors</v>
      </c>
      <c r="B257" s="595" t="str">
        <f>+B224</f>
        <v>Pfd B</v>
      </c>
      <c r="C257" s="559"/>
      <c r="D257" s="560"/>
      <c r="E257" s="401"/>
      <c r="F257" s="560">
        <f>+E257*E$226</f>
        <v>0</v>
      </c>
      <c r="G257" s="559">
        <f>+H224</f>
        <v>0.21739130434782608</v>
      </c>
      <c r="H257" s="560">
        <f t="shared" si="45"/>
        <v>5000000</v>
      </c>
      <c r="I257" s="597">
        <f>+J224</f>
        <v>0.11627906976744186</v>
      </c>
      <c r="J257" s="560">
        <f t="shared" si="46"/>
        <v>25000000</v>
      </c>
      <c r="K257" s="567"/>
      <c r="L257" s="330"/>
      <c r="M257" s="18"/>
      <c r="N257" s="18"/>
      <c r="O257" s="18"/>
      <c r="P257" s="18"/>
    </row>
    <row r="258" spans="1:16" s="5" customFormat="1" ht="18">
      <c r="A258" s="600" t="str">
        <f>+A232</f>
        <v>C Round Investors</v>
      </c>
      <c r="B258" s="406" t="str">
        <f>+B232</f>
        <v>Pfd C</v>
      </c>
      <c r="C258" s="569"/>
      <c r="D258" s="570"/>
      <c r="E258" s="397"/>
      <c r="F258" s="570"/>
      <c r="G258" s="569"/>
      <c r="H258" s="570">
        <f t="shared" si="45"/>
        <v>0</v>
      </c>
      <c r="I258" s="397">
        <f>+J232</f>
        <v>0.46511627906976744</v>
      </c>
      <c r="J258" s="570">
        <f t="shared" si="46"/>
        <v>100000000</v>
      </c>
      <c r="K258" s="571"/>
      <c r="L258" s="330"/>
      <c r="M258" s="18"/>
      <c r="N258" s="18"/>
      <c r="O258" s="18"/>
      <c r="P258" s="18"/>
    </row>
    <row r="259" spans="1:16" s="5" customFormat="1" ht="18.75" thickBot="1">
      <c r="A259" s="352" t="s">
        <v>485</v>
      </c>
      <c r="B259" s="365"/>
      <c r="C259" s="572">
        <f>SUM(C248:C255)</f>
        <v>0.9999999999999999</v>
      </c>
      <c r="D259" s="561">
        <f>SUM(D248:D255)</f>
        <v>60000</v>
      </c>
      <c r="E259" s="398">
        <f aca="true" t="shared" si="47" ref="E259:J259">SUM(E248:E258)</f>
        <v>1</v>
      </c>
      <c r="F259" s="561">
        <f t="shared" si="47"/>
        <v>4500000</v>
      </c>
      <c r="G259" s="393">
        <f t="shared" si="47"/>
        <v>0.9999999999999999</v>
      </c>
      <c r="H259" s="561">
        <f t="shared" si="47"/>
        <v>23000000</v>
      </c>
      <c r="I259" s="393">
        <f t="shared" si="47"/>
        <v>1</v>
      </c>
      <c r="J259" s="561">
        <f t="shared" si="47"/>
        <v>215000000</v>
      </c>
      <c r="K259" s="18"/>
      <c r="L259" s="18"/>
      <c r="M259" s="18"/>
      <c r="N259" s="18"/>
      <c r="O259" s="18"/>
      <c r="P259" s="18"/>
    </row>
    <row r="260" spans="1:16" s="5" customFormat="1" ht="18.75" thickBot="1">
      <c r="A260" s="353"/>
      <c r="B260" s="365"/>
      <c r="C260" s="429"/>
      <c r="D260" s="393"/>
      <c r="E260" s="388"/>
      <c r="F260" s="398"/>
      <c r="G260" s="393"/>
      <c r="H260" s="398"/>
      <c r="I260" s="398"/>
      <c r="J260" s="398"/>
      <c r="K260" s="18"/>
      <c r="L260" s="30"/>
      <c r="M260" s="18"/>
      <c r="N260" s="18"/>
      <c r="O260" s="18"/>
      <c r="P260" s="18"/>
    </row>
    <row r="261" spans="1:16" s="5" customFormat="1" ht="18">
      <c r="A261" s="353"/>
      <c r="B261" s="365"/>
      <c r="C261" s="573"/>
      <c r="D261" s="393"/>
      <c r="E261" s="388"/>
      <c r="F261" s="398"/>
      <c r="G261" s="393"/>
      <c r="H261" s="398"/>
      <c r="I261" s="398"/>
      <c r="J261" s="398"/>
      <c r="K261" s="18"/>
      <c r="L261" s="30"/>
      <c r="M261" s="18"/>
      <c r="N261" s="18"/>
      <c r="O261" s="18"/>
      <c r="P261" s="18"/>
    </row>
    <row r="262" spans="1:16" s="5" customFormat="1" ht="18">
      <c r="A262"/>
      <c r="B262" s="400"/>
      <c r="C262" s="400"/>
      <c r="D262" s="400"/>
      <c r="E262" s="400"/>
      <c r="F262" s="400"/>
      <c r="G262" s="400"/>
      <c r="H262" s="400"/>
      <c r="I262" s="400"/>
      <c r="J262" s="18"/>
      <c r="K262" s="18"/>
      <c r="L262" s="18"/>
      <c r="M262" s="18"/>
      <c r="N262" s="18"/>
      <c r="O262" s="18"/>
      <c r="P262" s="18"/>
    </row>
    <row r="263" spans="1:16" s="5" customFormat="1" ht="18">
      <c r="A263" s="111" t="str">
        <f>+A191</f>
        <v>STOCK DISTRIBUTION</v>
      </c>
      <c r="B263" s="400"/>
      <c r="C263" s="400"/>
      <c r="D263" s="400"/>
      <c r="E263" s="400"/>
      <c r="F263" s="400"/>
      <c r="G263" s="400"/>
      <c r="H263" s="400"/>
      <c r="I263" s="400"/>
      <c r="J263" s="18"/>
      <c r="K263" s="18"/>
      <c r="L263" s="18"/>
      <c r="M263" s="18"/>
      <c r="N263" s="18"/>
      <c r="O263" s="18"/>
      <c r="P263" s="18"/>
    </row>
    <row r="264" spans="1:16" s="5" customFormat="1" ht="27.75">
      <c r="A264" s="548" t="s">
        <v>479</v>
      </c>
      <c r="B264" s="400"/>
      <c r="C264" s="18"/>
      <c r="D264" s="18"/>
      <c r="E264" s="18"/>
      <c r="F264" s="18"/>
      <c r="G264" s="400"/>
      <c r="H264" s="400"/>
      <c r="I264" s="400"/>
      <c r="J264" s="18"/>
      <c r="K264" s="18"/>
      <c r="L264" s="18"/>
      <c r="M264" s="18"/>
      <c r="N264" s="549" t="s">
        <v>0</v>
      </c>
      <c r="O264" s="18"/>
      <c r="P264" s="18"/>
    </row>
    <row r="265" spans="1:16" s="5" customFormat="1" ht="18">
      <c r="A265" s="111"/>
      <c r="B265" s="400"/>
      <c r="C265" s="400"/>
      <c r="D265" s="400"/>
      <c r="E265" s="400"/>
      <c r="F265" s="400"/>
      <c r="G265" s="400"/>
      <c r="H265" s="400"/>
      <c r="I265" s="18"/>
      <c r="J265" s="18"/>
      <c r="K265" s="18"/>
      <c r="L265" s="18"/>
      <c r="M265" s="18"/>
      <c r="O265" s="18"/>
      <c r="P265" s="35" t="s">
        <v>494</v>
      </c>
    </row>
    <row r="266" spans="1:19" s="5" customFormat="1" ht="23.25">
      <c r="A266" s="111"/>
      <c r="B266" s="400"/>
      <c r="C266" s="674" t="s">
        <v>364</v>
      </c>
      <c r="D266" s="675"/>
      <c r="E266" s="574"/>
      <c r="F266" s="676" t="s">
        <v>489</v>
      </c>
      <c r="G266" s="677"/>
      <c r="H266" s="575"/>
      <c r="I266" s="676" t="s">
        <v>490</v>
      </c>
      <c r="J266" s="677"/>
      <c r="K266" s="575"/>
      <c r="L266" s="676" t="s">
        <v>491</v>
      </c>
      <c r="M266" s="677"/>
      <c r="O266" s="18"/>
      <c r="P266" s="18" t="s">
        <v>480</v>
      </c>
      <c r="Q266" s="5" t="s">
        <v>489</v>
      </c>
      <c r="R266" s="5" t="s">
        <v>490</v>
      </c>
      <c r="S266" s="5" t="s">
        <v>491</v>
      </c>
    </row>
    <row r="267" spans="1:16" s="5" customFormat="1" ht="20.25">
      <c r="A267" s="111"/>
      <c r="B267" s="400"/>
      <c r="C267" s="400"/>
      <c r="D267" s="576"/>
      <c r="E267" s="18"/>
      <c r="F267" s="577" t="s">
        <v>481</v>
      </c>
      <c r="G267" s="578" t="s">
        <v>482</v>
      </c>
      <c r="H267" s="18"/>
      <c r="I267" s="577" t="s">
        <v>481</v>
      </c>
      <c r="J267" s="578" t="s">
        <v>482</v>
      </c>
      <c r="K267" s="18"/>
      <c r="L267" s="579" t="s">
        <v>481</v>
      </c>
      <c r="M267" s="578" t="s">
        <v>482</v>
      </c>
      <c r="O267" s="18"/>
      <c r="P267" s="18" t="s">
        <v>481</v>
      </c>
    </row>
    <row r="268" spans="1:19" s="5" customFormat="1" ht="18">
      <c r="A268" s="18"/>
      <c r="B268" s="364"/>
      <c r="C268" s="364" t="s">
        <v>483</v>
      </c>
      <c r="D268" s="598">
        <f>+C208</f>
        <v>60000</v>
      </c>
      <c r="F268" s="580">
        <f>+G268-G269</f>
        <v>3000000</v>
      </c>
      <c r="G268" s="581">
        <f>+E219</f>
        <v>4500000</v>
      </c>
      <c r="I268" s="580">
        <f>+J268-J269</f>
        <v>18000000</v>
      </c>
      <c r="J268" s="581">
        <f>+G229</f>
        <v>23000000</v>
      </c>
      <c r="L268" s="580">
        <f>+M268-M269</f>
        <v>115000000</v>
      </c>
      <c r="M268" s="581">
        <f>+J259</f>
        <v>215000000</v>
      </c>
      <c r="O268" s="18"/>
      <c r="P268" s="582">
        <f>+D268</f>
        <v>60000</v>
      </c>
      <c r="Q268" s="582">
        <f>+F268</f>
        <v>3000000</v>
      </c>
      <c r="R268" s="582">
        <f>+I268</f>
        <v>18000000</v>
      </c>
      <c r="S268" s="582">
        <f>+L268</f>
        <v>115000000</v>
      </c>
    </row>
    <row r="269" spans="1:16" s="5" customFormat="1" ht="18">
      <c r="A269" s="18"/>
      <c r="B269" s="364"/>
      <c r="C269" s="364" t="s">
        <v>484</v>
      </c>
      <c r="D269" s="400">
        <v>25000</v>
      </c>
      <c r="E269" s="18"/>
      <c r="F269" s="18"/>
      <c r="G269" s="400">
        <f>+K213</f>
        <v>1500000</v>
      </c>
      <c r="H269" s="18"/>
      <c r="I269" s="302"/>
      <c r="J269" s="400">
        <f>+K224</f>
        <v>5000000</v>
      </c>
      <c r="K269" s="18"/>
      <c r="L269" s="302"/>
      <c r="M269" s="400">
        <f>+K232</f>
        <v>100000000</v>
      </c>
      <c r="O269" s="18"/>
      <c r="P269" s="18"/>
    </row>
    <row r="270" spans="1:16" s="5" customFormat="1" ht="18">
      <c r="A270" s="18"/>
      <c r="B270" s="364"/>
      <c r="C270" s="364"/>
      <c r="D270" s="400"/>
      <c r="E270" s="18"/>
      <c r="F270" s="18"/>
      <c r="G270" s="400"/>
      <c r="H270" s="18"/>
      <c r="I270" s="302"/>
      <c r="J270" s="400"/>
      <c r="K270" s="18"/>
      <c r="L270" s="302"/>
      <c r="M270" s="400"/>
      <c r="O270" s="18"/>
      <c r="P270" s="18" t="s">
        <v>493</v>
      </c>
    </row>
    <row r="271" spans="1:19" s="5" customFormat="1" ht="18">
      <c r="A271" s="18"/>
      <c r="B271" s="364"/>
      <c r="C271" s="364"/>
      <c r="D271" s="400"/>
      <c r="E271" s="18"/>
      <c r="F271" s="244"/>
      <c r="G271" s="400"/>
      <c r="H271" s="18"/>
      <c r="I271" s="302"/>
      <c r="J271" s="400"/>
      <c r="K271" s="18"/>
      <c r="L271" s="302"/>
      <c r="M271" s="400"/>
      <c r="O271" s="18"/>
      <c r="P271" s="244">
        <f>+D268</f>
        <v>60000</v>
      </c>
      <c r="Q271" s="582">
        <f>+G268</f>
        <v>4500000</v>
      </c>
      <c r="R271" s="582">
        <f>+J268</f>
        <v>23000000</v>
      </c>
      <c r="S271" s="582">
        <f>+M268</f>
        <v>215000000</v>
      </c>
    </row>
    <row r="272" spans="1:16" s="5" customFormat="1" ht="18">
      <c r="A272" s="18"/>
      <c r="B272" s="358" t="s">
        <v>501</v>
      </c>
      <c r="C272" s="358" t="s">
        <v>501</v>
      </c>
      <c r="D272" s="409">
        <f>+(F268-D268)/D269</f>
        <v>117.6</v>
      </c>
      <c r="E272" s="18"/>
      <c r="F272" s="18"/>
      <c r="G272" s="409">
        <f>+(I268-G268)/G269</f>
        <v>9</v>
      </c>
      <c r="H272" s="302"/>
      <c r="I272" s="18"/>
      <c r="J272" s="409">
        <f>+(L268-J268)/J269</f>
        <v>18.4</v>
      </c>
      <c r="K272" s="302"/>
      <c r="L272" s="583"/>
      <c r="M272" s="18"/>
      <c r="O272" s="18"/>
      <c r="P272" s="18"/>
    </row>
    <row r="273" spans="1:16" s="5" customFormat="1" ht="18">
      <c r="A273" s="111"/>
      <c r="B273" s="400"/>
      <c r="C273" s="400"/>
      <c r="D273" s="400"/>
      <c r="E273" s="400"/>
      <c r="F273" s="400"/>
      <c r="G273" s="400"/>
      <c r="H273" s="400"/>
      <c r="I273" s="400"/>
      <c r="J273" s="18"/>
      <c r="K273" s="18"/>
      <c r="L273" s="18"/>
      <c r="M273" s="18"/>
      <c r="N273" s="18"/>
      <c r="O273" s="18"/>
      <c r="P273" s="18"/>
    </row>
    <row r="274" spans="1:16" s="5" customFormat="1" ht="18">
      <c r="A274" s="111"/>
      <c r="B274" s="400"/>
      <c r="C274" s="400"/>
      <c r="D274" s="400"/>
      <c r="E274" s="400"/>
      <c r="F274" s="400"/>
      <c r="G274" s="400"/>
      <c r="H274" s="400"/>
      <c r="I274" s="400"/>
      <c r="J274" s="18"/>
      <c r="K274" s="18"/>
      <c r="L274" s="18"/>
      <c r="M274" s="18"/>
      <c r="N274" s="18"/>
      <c r="O274" s="18"/>
      <c r="P274" s="18"/>
    </row>
    <row r="275" spans="1:16" s="5" customFormat="1" ht="18">
      <c r="A275" s="111"/>
      <c r="B275" s="400"/>
      <c r="C275" s="400"/>
      <c r="D275" s="400"/>
      <c r="E275" s="400"/>
      <c r="F275" s="400"/>
      <c r="G275" s="400"/>
      <c r="H275" s="400"/>
      <c r="I275" s="400"/>
      <c r="J275" s="18"/>
      <c r="K275" s="18"/>
      <c r="L275" s="18"/>
      <c r="M275" s="18"/>
      <c r="N275" s="18"/>
      <c r="O275" s="18"/>
      <c r="P275" s="18"/>
    </row>
    <row r="276" spans="1:16" s="5" customFormat="1" ht="18">
      <c r="A276" s="111"/>
      <c r="B276" s="400"/>
      <c r="C276" s="400"/>
      <c r="D276" s="400"/>
      <c r="E276" s="400"/>
      <c r="F276" s="400"/>
      <c r="G276" s="400"/>
      <c r="H276" s="400"/>
      <c r="I276" s="400"/>
      <c r="J276" s="18"/>
      <c r="K276" s="18"/>
      <c r="L276" s="18"/>
      <c r="M276" s="18"/>
      <c r="N276" s="18"/>
      <c r="O276"/>
      <c r="P276"/>
    </row>
    <row r="277" spans="1:16" s="5" customFormat="1" ht="18">
      <c r="A277" s="111"/>
      <c r="B277" s="400"/>
      <c r="C277" s="400"/>
      <c r="D277" s="400"/>
      <c r="E277" s="400"/>
      <c r="F277" s="400"/>
      <c r="G277" s="400"/>
      <c r="H277" s="400"/>
      <c r="I277" s="400"/>
      <c r="J277" s="18"/>
      <c r="K277" s="18"/>
      <c r="L277" s="18"/>
      <c r="M277" s="18"/>
      <c r="N277" s="18"/>
      <c r="O277"/>
      <c r="P277"/>
    </row>
    <row r="278" spans="1:16" s="5" customFormat="1" ht="18">
      <c r="A278" s="111"/>
      <c r="B278" s="400"/>
      <c r="C278" s="400"/>
      <c r="D278" s="400"/>
      <c r="E278" s="400"/>
      <c r="F278" s="400"/>
      <c r="G278" s="400"/>
      <c r="H278" s="400"/>
      <c r="I278" s="400"/>
      <c r="J278" s="18"/>
      <c r="K278" s="18"/>
      <c r="L278" s="18"/>
      <c r="M278" s="18"/>
      <c r="N278" s="18"/>
      <c r="O278"/>
      <c r="P278"/>
    </row>
    <row r="279" spans="1:16" s="5" customFormat="1" ht="18">
      <c r="A279" s="111"/>
      <c r="B279" s="400"/>
      <c r="C279" s="400"/>
      <c r="D279" s="400"/>
      <c r="E279" s="400"/>
      <c r="F279" s="400"/>
      <c r="G279" s="400"/>
      <c r="H279" s="400"/>
      <c r="I279" s="400"/>
      <c r="J279" s="18"/>
      <c r="K279" s="18"/>
      <c r="L279" s="18"/>
      <c r="M279" s="18"/>
      <c r="N279" s="18"/>
      <c r="O279"/>
      <c r="P279"/>
    </row>
    <row r="280" spans="1:16" s="5" customFormat="1" ht="18">
      <c r="A280" s="111"/>
      <c r="B280" s="400"/>
      <c r="C280" s="400"/>
      <c r="D280" s="400"/>
      <c r="E280" s="400"/>
      <c r="F280" s="400"/>
      <c r="G280" s="400"/>
      <c r="H280" s="400"/>
      <c r="I280" s="400"/>
      <c r="J280" s="18"/>
      <c r="K280" s="18"/>
      <c r="L280" s="18"/>
      <c r="M280" s="18"/>
      <c r="N280" s="18"/>
      <c r="O280"/>
      <c r="P280"/>
    </row>
    <row r="281" spans="1:16" s="5" customFormat="1" ht="18">
      <c r="A281" s="111"/>
      <c r="B281" s="400"/>
      <c r="C281" s="400"/>
      <c r="D281" s="400"/>
      <c r="E281" s="400"/>
      <c r="F281" s="400"/>
      <c r="G281" s="400"/>
      <c r="H281" s="400"/>
      <c r="I281" s="400"/>
      <c r="J281" s="18"/>
      <c r="K281" s="18"/>
      <c r="L281" s="18"/>
      <c r="M281" s="18"/>
      <c r="N281" s="18"/>
      <c r="O281"/>
      <c r="P281"/>
    </row>
    <row r="282" spans="1:16" s="5" customFormat="1" ht="18">
      <c r="A282" s="111"/>
      <c r="B282" s="400"/>
      <c r="C282" s="400"/>
      <c r="D282" s="400"/>
      <c r="E282" s="400"/>
      <c r="F282" s="400"/>
      <c r="G282" s="400"/>
      <c r="H282" s="400"/>
      <c r="I282" s="400"/>
      <c r="J282" s="18"/>
      <c r="K282" s="18"/>
      <c r="L282" s="18"/>
      <c r="M282" s="18"/>
      <c r="N282" s="18"/>
      <c r="O282"/>
      <c r="P282"/>
    </row>
    <row r="283" spans="1:16" s="5" customFormat="1" ht="18">
      <c r="A283" s="111"/>
      <c r="B283" s="400"/>
      <c r="C283" s="400"/>
      <c r="D283" s="400"/>
      <c r="E283" s="400"/>
      <c r="F283" s="400"/>
      <c r="G283" s="400"/>
      <c r="H283" s="400"/>
      <c r="I283" s="400"/>
      <c r="J283" s="18"/>
      <c r="K283" s="18"/>
      <c r="L283" s="18"/>
      <c r="M283" s="18"/>
      <c r="N283" s="18"/>
      <c r="O283"/>
      <c r="P283"/>
    </row>
    <row r="284" spans="1:16" s="5" customFormat="1" ht="18">
      <c r="A284" s="111"/>
      <c r="B284" s="400"/>
      <c r="C284" s="400"/>
      <c r="D284" s="400"/>
      <c r="E284" s="400"/>
      <c r="F284" s="400"/>
      <c r="G284" s="400"/>
      <c r="H284" s="400"/>
      <c r="I284" s="400"/>
      <c r="J284" s="18"/>
      <c r="K284" s="18"/>
      <c r="L284" s="18"/>
      <c r="M284" s="18"/>
      <c r="N284" s="18"/>
      <c r="O284"/>
      <c r="P284"/>
    </row>
    <row r="285" spans="1:16" s="5" customFormat="1" ht="18">
      <c r="A285" s="111"/>
      <c r="B285" s="400"/>
      <c r="C285" s="400"/>
      <c r="D285" s="400"/>
      <c r="E285" s="400"/>
      <c r="F285" s="400"/>
      <c r="G285" s="400"/>
      <c r="H285" s="400"/>
      <c r="I285" s="400"/>
      <c r="J285" s="18"/>
      <c r="K285" s="18"/>
      <c r="L285" s="18"/>
      <c r="M285" s="18"/>
      <c r="N285" s="18"/>
      <c r="O285"/>
      <c r="P285"/>
    </row>
    <row r="286" spans="1:16" s="5" customFormat="1" ht="18">
      <c r="A286" s="111"/>
      <c r="B286" s="400"/>
      <c r="C286" s="400"/>
      <c r="D286" s="400"/>
      <c r="E286" s="400"/>
      <c r="F286" s="400"/>
      <c r="G286" s="400"/>
      <c r="H286" s="400"/>
      <c r="I286" s="400"/>
      <c r="J286" s="18"/>
      <c r="K286" s="18"/>
      <c r="L286" s="18"/>
      <c r="M286" s="18"/>
      <c r="N286" s="18"/>
      <c r="O286"/>
      <c r="P286"/>
    </row>
    <row r="287" spans="1:16" s="5" customFormat="1" ht="18">
      <c r="A287" s="111"/>
      <c r="B287" s="400"/>
      <c r="C287" s="400"/>
      <c r="D287" s="400"/>
      <c r="E287" s="400"/>
      <c r="F287" s="400"/>
      <c r="G287" s="400"/>
      <c r="H287" s="400"/>
      <c r="I287" s="400"/>
      <c r="J287" s="18"/>
      <c r="K287" s="18"/>
      <c r="L287" s="18"/>
      <c r="M287" s="18"/>
      <c r="N287" s="18"/>
      <c r="O287"/>
      <c r="P287"/>
    </row>
    <row r="288" spans="1:16" s="5" customFormat="1" ht="18">
      <c r="A288" s="111"/>
      <c r="B288" s="400"/>
      <c r="C288" s="400"/>
      <c r="D288" s="400"/>
      <c r="E288" s="400"/>
      <c r="F288" s="400"/>
      <c r="G288" s="400"/>
      <c r="H288" s="400"/>
      <c r="I288" s="400"/>
      <c r="J288" s="18"/>
      <c r="K288" s="18"/>
      <c r="L288" s="18"/>
      <c r="M288" s="18"/>
      <c r="N288" s="18"/>
      <c r="O288"/>
      <c r="P288"/>
    </row>
    <row r="289" spans="1:16" s="5" customFormat="1" ht="18">
      <c r="A289" s="111"/>
      <c r="B289" s="400"/>
      <c r="C289" s="400"/>
      <c r="D289" s="400"/>
      <c r="E289" s="400"/>
      <c r="F289" s="400"/>
      <c r="G289" s="400"/>
      <c r="H289" s="400"/>
      <c r="I289" s="400"/>
      <c r="J289" s="18"/>
      <c r="K289" s="18"/>
      <c r="L289" s="18"/>
      <c r="M289" s="18"/>
      <c r="N289" s="18"/>
      <c r="O289"/>
      <c r="P289"/>
    </row>
    <row r="290" spans="1:16" s="5" customFormat="1" ht="18">
      <c r="A290" s="111"/>
      <c r="B290" s="400"/>
      <c r="C290" s="400"/>
      <c r="D290" s="400"/>
      <c r="E290" s="400"/>
      <c r="F290" s="400"/>
      <c r="G290" s="400"/>
      <c r="H290" s="400"/>
      <c r="I290" s="400"/>
      <c r="J290" s="18"/>
      <c r="K290" s="18"/>
      <c r="L290" s="18"/>
      <c r="M290" s="18"/>
      <c r="N290" s="18"/>
      <c r="O290"/>
      <c r="P290"/>
    </row>
    <row r="291" spans="1:16" s="5" customFormat="1" ht="18">
      <c r="A291" s="111"/>
      <c r="B291" s="400"/>
      <c r="C291" s="400"/>
      <c r="D291" s="400"/>
      <c r="E291" s="400"/>
      <c r="F291" s="400"/>
      <c r="G291" s="400"/>
      <c r="H291" s="400"/>
      <c r="I291" s="400"/>
      <c r="J291" s="18"/>
      <c r="K291" s="18"/>
      <c r="L291" s="18"/>
      <c r="M291" s="18"/>
      <c r="N291" s="18"/>
      <c r="O291"/>
      <c r="P291"/>
    </row>
    <row r="292" spans="1:16" s="5" customFormat="1" ht="18">
      <c r="A292" s="111"/>
      <c r="B292" s="400"/>
      <c r="C292" s="400"/>
      <c r="D292" s="400"/>
      <c r="E292" s="400"/>
      <c r="F292" s="400"/>
      <c r="G292" s="400"/>
      <c r="H292" s="400"/>
      <c r="I292" s="400"/>
      <c r="J292" s="18"/>
      <c r="K292" s="18"/>
      <c r="L292" s="18"/>
      <c r="M292" s="18"/>
      <c r="N292" s="18"/>
      <c r="O292"/>
      <c r="P292"/>
    </row>
    <row r="293" spans="1:16" s="5" customFormat="1" ht="18">
      <c r="A293" s="111"/>
      <c r="B293" s="400"/>
      <c r="C293" s="400"/>
      <c r="D293" s="400"/>
      <c r="E293" s="400"/>
      <c r="F293" s="400"/>
      <c r="G293" s="400"/>
      <c r="H293" s="400"/>
      <c r="I293" s="400"/>
      <c r="J293" s="18"/>
      <c r="K293" s="18"/>
      <c r="L293" s="18"/>
      <c r="M293" s="18"/>
      <c r="N293" s="18"/>
      <c r="O293"/>
      <c r="P293"/>
    </row>
    <row r="294" spans="1:16" s="5" customFormat="1" ht="18">
      <c r="A294" s="111"/>
      <c r="B294" s="400"/>
      <c r="C294" s="400"/>
      <c r="D294" s="400"/>
      <c r="E294" s="400"/>
      <c r="F294" s="400"/>
      <c r="G294" s="400"/>
      <c r="H294" s="400"/>
      <c r="I294" s="400"/>
      <c r="J294" s="18"/>
      <c r="K294" s="18"/>
      <c r="L294" s="18"/>
      <c r="M294" s="18"/>
      <c r="N294" s="18"/>
      <c r="O294"/>
      <c r="P294"/>
    </row>
    <row r="295" spans="1:16" s="5" customFormat="1" ht="18">
      <c r="A295" s="111"/>
      <c r="B295" s="18"/>
      <c r="C295" s="18"/>
      <c r="D295" s="18"/>
      <c r="E295" s="18"/>
      <c r="F295" s="18"/>
      <c r="G295" s="18"/>
      <c r="H295" s="18"/>
      <c r="I295" s="18"/>
      <c r="J295" s="18"/>
      <c r="K295" s="18"/>
      <c r="L295" s="18"/>
      <c r="M295" s="18"/>
      <c r="N295" s="18"/>
      <c r="O295"/>
      <c r="P295"/>
    </row>
    <row r="296" spans="1:16" s="5" customFormat="1" ht="20.25">
      <c r="A296" s="111"/>
      <c r="B296" s="18"/>
      <c r="C296" s="18"/>
      <c r="D296" s="18"/>
      <c r="E296" s="18"/>
      <c r="F296" s="18"/>
      <c r="G296" s="18"/>
      <c r="H296" s="18"/>
      <c r="I296" s="18"/>
      <c r="J296" s="18"/>
      <c r="K296" s="18"/>
      <c r="L296" s="18"/>
      <c r="M296" s="18"/>
      <c r="N296" s="584"/>
      <c r="O296"/>
      <c r="P296"/>
    </row>
    <row r="297" spans="1:16" s="5" customFormat="1" ht="20.25">
      <c r="A297" s="111"/>
      <c r="B297" s="18"/>
      <c r="C297" s="18"/>
      <c r="D297" s="18"/>
      <c r="E297" s="18"/>
      <c r="F297" s="18"/>
      <c r="G297" s="18"/>
      <c r="H297" s="18"/>
      <c r="I297" s="18"/>
      <c r="J297" s="18"/>
      <c r="K297" s="18"/>
      <c r="L297" s="18"/>
      <c r="M297" s="18"/>
      <c r="N297" s="584"/>
      <c r="O297"/>
      <c r="P297"/>
    </row>
    <row r="298" spans="1:16" s="5" customFormat="1" ht="20.25">
      <c r="A298" s="111"/>
      <c r="B298" s="18"/>
      <c r="C298" s="18"/>
      <c r="D298" s="18"/>
      <c r="E298" s="18"/>
      <c r="F298" s="18"/>
      <c r="G298" s="18"/>
      <c r="H298" s="18"/>
      <c r="I298" s="18"/>
      <c r="J298" s="18"/>
      <c r="K298" s="18"/>
      <c r="L298" s="18"/>
      <c r="M298" s="18"/>
      <c r="N298" s="584"/>
      <c r="O298"/>
      <c r="P298"/>
    </row>
    <row r="299" spans="1:16" s="5" customFormat="1" ht="23.25">
      <c r="A299" s="111"/>
      <c r="B299" s="585" t="s">
        <v>550</v>
      </c>
      <c r="C299" s="586"/>
      <c r="D299" s="586"/>
      <c r="E299" s="586"/>
      <c r="F299" s="586"/>
      <c r="G299" s="586"/>
      <c r="H299" s="586"/>
      <c r="I299" s="586"/>
      <c r="J299" s="587"/>
      <c r="K299" s="587"/>
      <c r="L299" s="587"/>
      <c r="M299" s="587"/>
      <c r="N299" s="588"/>
      <c r="O299"/>
      <c r="P299"/>
    </row>
    <row r="300" spans="1:16" s="5" customFormat="1" ht="18">
      <c r="A300" s="111"/>
      <c r="B300" s="111"/>
      <c r="C300" s="111"/>
      <c r="D300" s="111"/>
      <c r="E300" s="111"/>
      <c r="F300" s="111"/>
      <c r="G300" s="111"/>
      <c r="H300" s="111"/>
      <c r="I300" s="111"/>
      <c r="J300" s="111"/>
      <c r="K300" s="111"/>
      <c r="L300" s="111"/>
      <c r="M300" s="111"/>
      <c r="N300" s="111"/>
      <c r="O300"/>
      <c r="P300"/>
    </row>
    <row r="301" spans="1:16" s="5" customFormat="1" ht="23.25">
      <c r="A301" s="111"/>
      <c r="B301" s="589" t="s">
        <v>480</v>
      </c>
      <c r="C301" s="589"/>
      <c r="D301" s="589"/>
      <c r="E301" s="589" t="s">
        <v>489</v>
      </c>
      <c r="F301" s="589"/>
      <c r="G301" s="589"/>
      <c r="H301" s="589"/>
      <c r="I301" s="589" t="s">
        <v>490</v>
      </c>
      <c r="J301" s="590"/>
      <c r="K301" s="590"/>
      <c r="L301" s="590" t="s">
        <v>491</v>
      </c>
      <c r="M301" s="591"/>
      <c r="N301" s="592"/>
      <c r="O301"/>
      <c r="P301"/>
    </row>
    <row r="302" spans="1:16" s="5" customFormat="1" ht="20.25">
      <c r="A302" s="111"/>
      <c r="B302" s="593" t="s">
        <v>446</v>
      </c>
      <c r="C302" s="593"/>
      <c r="D302" s="593"/>
      <c r="E302" s="593" t="s">
        <v>545</v>
      </c>
      <c r="F302" s="593"/>
      <c r="G302" s="593"/>
      <c r="H302" s="593"/>
      <c r="I302" s="593" t="s">
        <v>546</v>
      </c>
      <c r="J302" s="584"/>
      <c r="K302" s="584"/>
      <c r="L302" s="584" t="s">
        <v>547</v>
      </c>
      <c r="M302" s="584"/>
      <c r="N302" s="584"/>
      <c r="O302"/>
      <c r="P302"/>
    </row>
    <row r="303" spans="1:16" s="5" customFormat="1" ht="20.25">
      <c r="A303" s="111"/>
      <c r="B303" s="593" t="s">
        <v>523</v>
      </c>
      <c r="C303" s="593"/>
      <c r="D303" s="593"/>
      <c r="E303" s="593" t="s">
        <v>528</v>
      </c>
      <c r="F303" s="593"/>
      <c r="G303" s="593"/>
      <c r="H303" s="593"/>
      <c r="I303" s="593" t="s">
        <v>533</v>
      </c>
      <c r="J303" s="584"/>
      <c r="K303" s="584"/>
      <c r="L303" s="584" t="s">
        <v>543</v>
      </c>
      <c r="M303" s="584"/>
      <c r="N303" s="584"/>
      <c r="O303"/>
      <c r="P303"/>
    </row>
    <row r="304" spans="1:16" s="5" customFormat="1" ht="20.25">
      <c r="A304" s="111"/>
      <c r="B304" s="593" t="s">
        <v>524</v>
      </c>
      <c r="C304" s="593"/>
      <c r="D304" s="593"/>
      <c r="E304" s="593" t="s">
        <v>530</v>
      </c>
      <c r="F304" s="593"/>
      <c r="G304" s="593"/>
      <c r="H304" s="593"/>
      <c r="I304" s="593" t="s">
        <v>537</v>
      </c>
      <c r="J304" s="584"/>
      <c r="K304" s="584"/>
      <c r="L304" s="584" t="s">
        <v>544</v>
      </c>
      <c r="M304" s="584"/>
      <c r="N304" s="584"/>
      <c r="O304"/>
      <c r="P304"/>
    </row>
    <row r="305" spans="1:16" s="5" customFormat="1" ht="20.25">
      <c r="A305" s="111"/>
      <c r="B305" s="594" t="s">
        <v>525</v>
      </c>
      <c r="C305" s="593"/>
      <c r="D305" s="593"/>
      <c r="E305" s="593" t="s">
        <v>531</v>
      </c>
      <c r="F305" s="593"/>
      <c r="G305" s="593"/>
      <c r="H305" s="593"/>
      <c r="I305" s="593" t="s">
        <v>534</v>
      </c>
      <c r="J305" s="584"/>
      <c r="K305" s="584"/>
      <c r="L305" s="584" t="s">
        <v>548</v>
      </c>
      <c r="M305" s="584"/>
      <c r="N305" s="584"/>
      <c r="O305"/>
      <c r="P305"/>
    </row>
    <row r="306" spans="1:16" s="5" customFormat="1" ht="20.25">
      <c r="A306" s="111"/>
      <c r="B306" s="594" t="s">
        <v>526</v>
      </c>
      <c r="C306" s="593"/>
      <c r="D306" s="593"/>
      <c r="E306" s="593" t="s">
        <v>532</v>
      </c>
      <c r="F306" s="593"/>
      <c r="G306" s="593"/>
      <c r="H306" s="593"/>
      <c r="I306" s="593" t="s">
        <v>538</v>
      </c>
      <c r="J306" s="584"/>
      <c r="K306" s="584"/>
      <c r="L306" s="584"/>
      <c r="M306" s="584"/>
      <c r="N306" s="584"/>
      <c r="O306"/>
      <c r="P306"/>
    </row>
    <row r="307" spans="1:16" s="5" customFormat="1" ht="20.25">
      <c r="A307" s="111"/>
      <c r="B307" s="594" t="s">
        <v>527</v>
      </c>
      <c r="C307" s="593"/>
      <c r="D307" s="593"/>
      <c r="E307" s="593" t="s">
        <v>539</v>
      </c>
      <c r="F307" s="593"/>
      <c r="G307" s="593"/>
      <c r="H307" s="593"/>
      <c r="I307" s="593" t="s">
        <v>535</v>
      </c>
      <c r="J307" s="584"/>
      <c r="K307" s="584"/>
      <c r="L307" s="584"/>
      <c r="M307" s="584"/>
      <c r="N307" s="584"/>
      <c r="O307"/>
      <c r="P307"/>
    </row>
    <row r="308" spans="1:16" s="5" customFormat="1" ht="20.25">
      <c r="A308" s="111"/>
      <c r="B308" s="593" t="s">
        <v>529</v>
      </c>
      <c r="C308" s="593"/>
      <c r="D308" s="593"/>
      <c r="E308" s="593"/>
      <c r="F308" s="593"/>
      <c r="G308" s="593"/>
      <c r="H308" s="593"/>
      <c r="I308" s="593" t="s">
        <v>536</v>
      </c>
      <c r="J308" s="584"/>
      <c r="K308" s="584"/>
      <c r="L308" s="584"/>
      <c r="M308" s="584"/>
      <c r="N308" s="584"/>
      <c r="O308"/>
      <c r="P308"/>
    </row>
    <row r="309" spans="1:16" s="5" customFormat="1" ht="20.25">
      <c r="A309" s="111"/>
      <c r="B309" s="593" t="s">
        <v>549</v>
      </c>
      <c r="C309" s="593"/>
      <c r="D309" s="593"/>
      <c r="E309" s="593"/>
      <c r="F309" s="593"/>
      <c r="G309" s="593"/>
      <c r="H309" s="593"/>
      <c r="I309" s="593" t="s">
        <v>540</v>
      </c>
      <c r="J309" s="584"/>
      <c r="K309" s="584"/>
      <c r="L309" s="584"/>
      <c r="M309" s="584"/>
      <c r="N309" s="584"/>
      <c r="O309"/>
      <c r="P309"/>
    </row>
    <row r="310" spans="1:16" s="5" customFormat="1" ht="20.25">
      <c r="A310" s="111"/>
      <c r="B310" s="594" t="s">
        <v>541</v>
      </c>
      <c r="C310" s="593"/>
      <c r="D310" s="593"/>
      <c r="E310" s="593"/>
      <c r="F310" s="593"/>
      <c r="G310" s="593"/>
      <c r="H310" s="593"/>
      <c r="I310" s="593"/>
      <c r="J310" s="584"/>
      <c r="K310" s="584"/>
      <c r="L310" s="584"/>
      <c r="M310" s="584"/>
      <c r="N310" s="584"/>
      <c r="O310"/>
      <c r="P310"/>
    </row>
    <row r="311" spans="1:16" s="5" customFormat="1" ht="20.25">
      <c r="A311" s="111"/>
      <c r="B311" s="594"/>
      <c r="C311" s="593"/>
      <c r="D311" s="593"/>
      <c r="E311" s="593"/>
      <c r="F311" s="593"/>
      <c r="G311" s="593"/>
      <c r="H311" s="593"/>
      <c r="I311" s="593"/>
      <c r="J311" s="584"/>
      <c r="K311" s="584"/>
      <c r="L311" s="584"/>
      <c r="M311" s="584"/>
      <c r="N311" s="584"/>
      <c r="O311"/>
      <c r="P311"/>
    </row>
    <row r="312" spans="1:16" s="5" customFormat="1" ht="18">
      <c r="A312" s="30" t="str">
        <f>+A$41</f>
        <v>MyCo</v>
      </c>
      <c r="B312" s="30"/>
      <c r="C312" s="30"/>
      <c r="D312" s="30"/>
      <c r="E312" s="30"/>
      <c r="F312" s="30"/>
      <c r="G312" s="30"/>
      <c r="H312" s="30"/>
      <c r="I312" s="30"/>
      <c r="J312" s="30"/>
      <c r="K312" s="30"/>
      <c r="L312" s="30"/>
      <c r="M312" s="30"/>
      <c r="N312" s="318" t="str">
        <f>Cover!$A$17</f>
        <v>Draft 1.0</v>
      </c>
      <c r="O312" s="18"/>
      <c r="P312" s="18"/>
    </row>
    <row r="313" spans="1:14" ht="23.25">
      <c r="A313" s="317" t="s">
        <v>264</v>
      </c>
      <c r="B313" s="30"/>
      <c r="C313" s="30"/>
      <c r="D313" s="30"/>
      <c r="E313" s="30"/>
      <c r="F313" s="30"/>
      <c r="G313" s="30"/>
      <c r="H313" s="30"/>
      <c r="I313" s="30"/>
      <c r="J313" s="30"/>
      <c r="K313" s="30"/>
      <c r="L313" s="30"/>
      <c r="M313" s="30"/>
      <c r="N313" s="30"/>
    </row>
    <row r="314" spans="1:14" ht="18">
      <c r="A314" s="303"/>
      <c r="B314" s="30"/>
      <c r="C314" s="30"/>
      <c r="D314" s="30"/>
      <c r="E314" s="30"/>
      <c r="F314" s="30"/>
      <c r="G314" s="30"/>
      <c r="H314" s="30"/>
      <c r="I314" s="30"/>
      <c r="J314" s="30"/>
      <c r="K314" s="30"/>
      <c r="L314" s="30"/>
      <c r="M314" s="30"/>
      <c r="N314" s="30"/>
    </row>
    <row r="315" spans="1:14" s="5" customFormat="1" ht="15.75">
      <c r="A315" s="334"/>
      <c r="B315" s="304" t="s">
        <v>266</v>
      </c>
      <c r="C315" s="301"/>
      <c r="D315" s="301"/>
      <c r="E315" s="301"/>
      <c r="F315" s="301"/>
      <c r="G315" s="301"/>
      <c r="H315" s="301"/>
      <c r="I315" s="301"/>
      <c r="J315" s="301"/>
      <c r="K315" s="301"/>
      <c r="L315" s="301"/>
      <c r="M315" s="301"/>
      <c r="N315" s="301"/>
    </row>
    <row r="316" spans="1:14" s="5" customFormat="1" ht="14.25" customHeight="1">
      <c r="A316" s="335" t="s">
        <v>265</v>
      </c>
      <c r="B316" s="5" t="s">
        <v>267</v>
      </c>
      <c r="C316" s="301"/>
      <c r="D316" s="301"/>
      <c r="E316" s="301"/>
      <c r="F316" s="301"/>
      <c r="G316" s="301"/>
      <c r="H316" s="301"/>
      <c r="I316" s="301"/>
      <c r="J316" s="301"/>
      <c r="K316" s="301"/>
      <c r="L316" s="301"/>
      <c r="M316" s="301"/>
      <c r="N316" s="301"/>
    </row>
    <row r="317" spans="1:14" s="5" customFormat="1" ht="14.25" customHeight="1">
      <c r="A317" s="335" t="s">
        <v>265</v>
      </c>
      <c r="B317" s="5" t="s">
        <v>268</v>
      </c>
      <c r="C317" s="301"/>
      <c r="D317" s="301"/>
      <c r="E317" s="301"/>
      <c r="F317" s="301"/>
      <c r="G317" s="301"/>
      <c r="H317" s="301"/>
      <c r="I317" s="301"/>
      <c r="J317" s="301"/>
      <c r="K317" s="301"/>
      <c r="L317" s="301"/>
      <c r="M317" s="301"/>
      <c r="N317" s="301"/>
    </row>
    <row r="318" spans="1:14" s="5" customFormat="1" ht="14.25" customHeight="1">
      <c r="A318" s="335" t="s">
        <v>265</v>
      </c>
      <c r="B318" s="301" t="s">
        <v>269</v>
      </c>
      <c r="C318" s="301"/>
      <c r="D318" s="301"/>
      <c r="E318" s="301"/>
      <c r="F318" s="301"/>
      <c r="G318" s="301"/>
      <c r="H318" s="301"/>
      <c r="I318" s="301"/>
      <c r="J318" s="301"/>
      <c r="K318" s="301"/>
      <c r="L318" s="301"/>
      <c r="M318" s="301"/>
      <c r="N318" s="301"/>
    </row>
    <row r="319" spans="1:14" s="5" customFormat="1" ht="15">
      <c r="A319" s="335" t="s">
        <v>265</v>
      </c>
      <c r="B319" s="301" t="s">
        <v>270</v>
      </c>
      <c r="C319" s="301"/>
      <c r="D319" s="301"/>
      <c r="E319" s="301"/>
      <c r="F319" s="301"/>
      <c r="G319" s="301"/>
      <c r="H319" s="301"/>
      <c r="I319" s="301"/>
      <c r="J319" s="301"/>
      <c r="K319" s="301"/>
      <c r="L319" s="301"/>
      <c r="M319" s="301"/>
      <c r="N319" s="301"/>
    </row>
    <row r="320" spans="1:14" s="5" customFormat="1" ht="8.25" customHeight="1">
      <c r="A320" s="334"/>
      <c r="B320" s="301"/>
      <c r="C320" s="301"/>
      <c r="D320" s="301"/>
      <c r="E320" s="301"/>
      <c r="F320" s="301"/>
      <c r="G320" s="301"/>
      <c r="H320" s="301"/>
      <c r="I320" s="301"/>
      <c r="J320" s="301"/>
      <c r="K320" s="301"/>
      <c r="L320" s="301"/>
      <c r="M320" s="301"/>
      <c r="N320" s="301"/>
    </row>
    <row r="321" spans="1:14" s="5" customFormat="1" ht="15.75">
      <c r="A321" s="334"/>
      <c r="B321" s="304" t="s">
        <v>358</v>
      </c>
      <c r="C321" s="301"/>
      <c r="D321" s="301"/>
      <c r="E321" s="301"/>
      <c r="F321" s="301"/>
      <c r="G321" s="301"/>
      <c r="H321" s="301"/>
      <c r="I321" s="301"/>
      <c r="J321" s="301"/>
      <c r="K321" s="301"/>
      <c r="L321" s="301"/>
      <c r="M321" s="301"/>
      <c r="N321" s="301"/>
    </row>
    <row r="322" spans="1:14" s="5" customFormat="1" ht="15">
      <c r="A322" s="335" t="s">
        <v>265</v>
      </c>
      <c r="B322" s="301" t="s">
        <v>271</v>
      </c>
      <c r="C322" s="301"/>
      <c r="D322" s="301"/>
      <c r="E322" s="301"/>
      <c r="F322" s="301"/>
      <c r="G322" s="301"/>
      <c r="H322" s="301"/>
      <c r="I322" s="301"/>
      <c r="J322" s="301"/>
      <c r="K322" s="301"/>
      <c r="L322" s="301"/>
      <c r="M322" s="301"/>
      <c r="N322" s="301"/>
    </row>
    <row r="323" spans="1:14" s="5" customFormat="1" ht="15">
      <c r="A323" s="335" t="s">
        <v>265</v>
      </c>
      <c r="B323" s="301" t="s">
        <v>272</v>
      </c>
      <c r="C323" s="301"/>
      <c r="D323" s="301"/>
      <c r="E323" s="301"/>
      <c r="F323" s="301"/>
      <c r="G323" s="301"/>
      <c r="H323" s="301"/>
      <c r="I323" s="301"/>
      <c r="J323" s="301"/>
      <c r="K323" s="301"/>
      <c r="L323" s="301"/>
      <c r="M323" s="301"/>
      <c r="N323" s="301"/>
    </row>
    <row r="324" spans="1:14" s="5" customFormat="1" ht="15">
      <c r="A324" s="335" t="s">
        <v>265</v>
      </c>
      <c r="B324" s="301" t="s">
        <v>273</v>
      </c>
      <c r="C324" s="301"/>
      <c r="D324" s="301"/>
      <c r="E324" s="301"/>
      <c r="F324" s="301"/>
      <c r="G324" s="301"/>
      <c r="H324" s="301"/>
      <c r="I324" s="301"/>
      <c r="J324" s="301"/>
      <c r="K324" s="301"/>
      <c r="L324" s="301"/>
      <c r="M324" s="301"/>
      <c r="N324" s="301"/>
    </row>
    <row r="325" spans="1:14" s="5" customFormat="1" ht="15">
      <c r="A325" s="335" t="s">
        <v>265</v>
      </c>
      <c r="B325" s="301" t="s">
        <v>274</v>
      </c>
      <c r="C325" s="301"/>
      <c r="D325" s="301"/>
      <c r="E325" s="301"/>
      <c r="F325" s="301"/>
      <c r="G325" s="301"/>
      <c r="H325" s="301"/>
      <c r="I325" s="301"/>
      <c r="J325" s="301"/>
      <c r="K325" s="301"/>
      <c r="L325" s="301"/>
      <c r="M325" s="301"/>
      <c r="N325" s="301"/>
    </row>
    <row r="326" spans="1:14" s="5" customFormat="1" ht="15">
      <c r="A326" s="335" t="s">
        <v>265</v>
      </c>
      <c r="B326" s="301" t="s">
        <v>275</v>
      </c>
      <c r="C326" s="301"/>
      <c r="D326" s="301"/>
      <c r="E326" s="301"/>
      <c r="F326" s="301"/>
      <c r="G326" s="301"/>
      <c r="H326" s="301"/>
      <c r="I326" s="301"/>
      <c r="J326" s="301"/>
      <c r="K326" s="301"/>
      <c r="L326" s="301"/>
      <c r="M326" s="301"/>
      <c r="N326" s="301"/>
    </row>
    <row r="327" spans="1:14" s="5" customFormat="1" ht="15">
      <c r="A327" s="335" t="s">
        <v>265</v>
      </c>
      <c r="B327" s="301" t="s">
        <v>276</v>
      </c>
      <c r="C327" s="301"/>
      <c r="D327" s="301"/>
      <c r="E327" s="301"/>
      <c r="F327" s="301"/>
      <c r="G327" s="301"/>
      <c r="H327" s="301"/>
      <c r="I327" s="301"/>
      <c r="J327" s="301"/>
      <c r="K327" s="301"/>
      <c r="L327" s="301"/>
      <c r="M327" s="301"/>
      <c r="N327" s="301"/>
    </row>
    <row r="328" spans="1:14" s="5" customFormat="1" ht="8.25" customHeight="1">
      <c r="A328" s="334"/>
      <c r="B328" s="301"/>
      <c r="C328" s="301"/>
      <c r="D328" s="301"/>
      <c r="E328" s="301"/>
      <c r="F328" s="301"/>
      <c r="G328" s="301"/>
      <c r="H328" s="301"/>
      <c r="I328" s="301"/>
      <c r="J328" s="301"/>
      <c r="K328" s="301"/>
      <c r="L328" s="301"/>
      <c r="M328" s="301"/>
      <c r="N328" s="301"/>
    </row>
    <row r="329" spans="1:14" s="5" customFormat="1" ht="15.75">
      <c r="A329" s="334"/>
      <c r="B329" s="304" t="s">
        <v>359</v>
      </c>
      <c r="C329" s="301"/>
      <c r="D329" s="301"/>
      <c r="E329" s="301"/>
      <c r="F329" s="301"/>
      <c r="G329" s="301"/>
      <c r="H329" s="301"/>
      <c r="I329" s="301"/>
      <c r="J329" s="301"/>
      <c r="K329" s="301"/>
      <c r="L329" s="301"/>
      <c r="M329" s="301"/>
      <c r="N329" s="301"/>
    </row>
    <row r="330" spans="1:14" s="5" customFormat="1" ht="15">
      <c r="A330" s="335" t="s">
        <v>265</v>
      </c>
      <c r="B330" s="301" t="s">
        <v>277</v>
      </c>
      <c r="C330" s="301"/>
      <c r="D330" s="301"/>
      <c r="E330" s="301"/>
      <c r="F330" s="301"/>
      <c r="G330" s="301"/>
      <c r="H330" s="301"/>
      <c r="I330" s="301"/>
      <c r="J330" s="301"/>
      <c r="K330" s="301"/>
      <c r="L330" s="301"/>
      <c r="M330" s="301"/>
      <c r="N330" s="301"/>
    </row>
    <row r="331" spans="1:14" s="5" customFormat="1" ht="15">
      <c r="A331" s="335" t="s">
        <v>265</v>
      </c>
      <c r="B331" s="301" t="s">
        <v>278</v>
      </c>
      <c r="C331" s="301"/>
      <c r="D331" s="301"/>
      <c r="E331" s="301"/>
      <c r="F331" s="301"/>
      <c r="G331" s="301"/>
      <c r="H331" s="301"/>
      <c r="I331" s="301"/>
      <c r="J331" s="301"/>
      <c r="K331" s="301"/>
      <c r="L331" s="301"/>
      <c r="M331" s="301"/>
      <c r="N331" s="301"/>
    </row>
    <row r="332" spans="1:14" s="5" customFormat="1" ht="15">
      <c r="A332" s="335" t="s">
        <v>265</v>
      </c>
      <c r="B332" s="301" t="s">
        <v>279</v>
      </c>
      <c r="C332" s="301"/>
      <c r="D332" s="301"/>
      <c r="E332" s="301"/>
      <c r="F332" s="301"/>
      <c r="G332" s="301"/>
      <c r="H332" s="301"/>
      <c r="I332" s="301"/>
      <c r="J332" s="301"/>
      <c r="K332" s="301"/>
      <c r="L332" s="301"/>
      <c r="M332" s="301"/>
      <c r="N332" s="301"/>
    </row>
    <row r="333" spans="1:14" s="5" customFormat="1" ht="15">
      <c r="A333" s="335" t="s">
        <v>265</v>
      </c>
      <c r="B333" s="301" t="s">
        <v>280</v>
      </c>
      <c r="C333" s="301"/>
      <c r="D333" s="301"/>
      <c r="E333" s="301"/>
      <c r="F333" s="301"/>
      <c r="G333" s="301"/>
      <c r="H333" s="301"/>
      <c r="I333" s="301"/>
      <c r="J333" s="301"/>
      <c r="K333" s="301"/>
      <c r="L333" s="301"/>
      <c r="M333" s="301"/>
      <c r="N333" s="301"/>
    </row>
    <row r="334" spans="1:14" s="5" customFormat="1" ht="15">
      <c r="A334" s="335" t="s">
        <v>265</v>
      </c>
      <c r="B334" s="301" t="s">
        <v>281</v>
      </c>
      <c r="C334" s="301"/>
      <c r="D334" s="301"/>
      <c r="E334" s="301"/>
      <c r="F334" s="301"/>
      <c r="G334" s="301"/>
      <c r="H334" s="301"/>
      <c r="I334" s="301"/>
      <c r="J334" s="301"/>
      <c r="K334" s="301"/>
      <c r="L334" s="301"/>
      <c r="M334" s="301"/>
      <c r="N334" s="301"/>
    </row>
    <row r="335" spans="1:14" s="5" customFormat="1" ht="15">
      <c r="A335" s="335" t="s">
        <v>265</v>
      </c>
      <c r="B335" s="301" t="s">
        <v>282</v>
      </c>
      <c r="C335" s="301"/>
      <c r="D335" s="301"/>
      <c r="E335" s="301"/>
      <c r="F335" s="301"/>
      <c r="G335" s="301"/>
      <c r="H335" s="301"/>
      <c r="I335" s="301"/>
      <c r="J335" s="301"/>
      <c r="K335" s="301"/>
      <c r="L335" s="301"/>
      <c r="M335" s="301"/>
      <c r="N335" s="301"/>
    </row>
    <row r="336" spans="1:14" s="5" customFormat="1" ht="15">
      <c r="A336" s="335" t="s">
        <v>265</v>
      </c>
      <c r="B336" s="301" t="s">
        <v>283</v>
      </c>
      <c r="C336" s="301"/>
      <c r="D336" s="301"/>
      <c r="E336" s="301"/>
      <c r="F336" s="301"/>
      <c r="G336" s="301"/>
      <c r="H336" s="301"/>
      <c r="I336" s="301"/>
      <c r="J336" s="301"/>
      <c r="K336" s="301"/>
      <c r="L336" s="301"/>
      <c r="M336" s="301"/>
      <c r="N336" s="301"/>
    </row>
    <row r="337" spans="1:14" s="5" customFormat="1" ht="8.25" customHeight="1">
      <c r="A337" s="334"/>
      <c r="B337" s="301"/>
      <c r="C337" s="301"/>
      <c r="D337" s="301"/>
      <c r="E337" s="301"/>
      <c r="F337" s="301"/>
      <c r="G337" s="301"/>
      <c r="H337" s="301"/>
      <c r="I337" s="301"/>
      <c r="J337" s="301"/>
      <c r="K337" s="301"/>
      <c r="L337" s="301"/>
      <c r="M337" s="301"/>
      <c r="N337" s="301"/>
    </row>
    <row r="338" spans="1:14" s="5" customFormat="1" ht="15.75">
      <c r="A338" s="334"/>
      <c r="B338" s="304" t="s">
        <v>284</v>
      </c>
      <c r="C338" s="301"/>
      <c r="D338" s="301"/>
      <c r="E338" s="301"/>
      <c r="F338" s="301"/>
      <c r="G338" s="301"/>
      <c r="H338" s="301"/>
      <c r="I338" s="301"/>
      <c r="J338" s="301"/>
      <c r="K338" s="301"/>
      <c r="L338" s="301"/>
      <c r="M338" s="301"/>
      <c r="N338" s="301"/>
    </row>
    <row r="339" spans="1:14" s="5" customFormat="1" ht="15">
      <c r="A339" s="335" t="s">
        <v>265</v>
      </c>
      <c r="B339" s="301" t="s">
        <v>285</v>
      </c>
      <c r="C339" s="301"/>
      <c r="D339" s="301"/>
      <c r="E339" s="301"/>
      <c r="F339" s="301"/>
      <c r="G339" s="301"/>
      <c r="H339" s="301"/>
      <c r="I339" s="301"/>
      <c r="J339" s="301"/>
      <c r="K339" s="301"/>
      <c r="L339" s="301"/>
      <c r="M339" s="301"/>
      <c r="N339" s="301"/>
    </row>
    <row r="340" spans="1:14" s="5" customFormat="1" ht="15">
      <c r="A340" s="335" t="s">
        <v>265</v>
      </c>
      <c r="B340" s="301" t="s">
        <v>286</v>
      </c>
      <c r="C340" s="301"/>
      <c r="D340" s="301"/>
      <c r="E340" s="301"/>
      <c r="F340" s="301"/>
      <c r="G340" s="301"/>
      <c r="H340" s="301"/>
      <c r="I340" s="301"/>
      <c r="J340" s="301"/>
      <c r="K340" s="301"/>
      <c r="L340" s="301"/>
      <c r="M340" s="301"/>
      <c r="N340" s="301"/>
    </row>
    <row r="341" spans="1:14" s="5" customFormat="1" ht="15">
      <c r="A341" s="335" t="s">
        <v>265</v>
      </c>
      <c r="B341" s="301" t="s">
        <v>287</v>
      </c>
      <c r="C341" s="301"/>
      <c r="D341" s="301"/>
      <c r="E341" s="301"/>
      <c r="F341" s="301"/>
      <c r="G341" s="301"/>
      <c r="H341" s="301"/>
      <c r="I341" s="301"/>
      <c r="J341" s="301"/>
      <c r="K341" s="301"/>
      <c r="L341" s="301"/>
      <c r="M341" s="301"/>
      <c r="N341" s="301"/>
    </row>
    <row r="342" spans="1:14" s="5" customFormat="1" ht="15">
      <c r="A342" s="335" t="s">
        <v>265</v>
      </c>
      <c r="B342" s="301" t="s">
        <v>288</v>
      </c>
      <c r="C342" s="301"/>
      <c r="D342" s="301"/>
      <c r="E342" s="301"/>
      <c r="F342" s="301"/>
      <c r="G342" s="301"/>
      <c r="H342" s="301"/>
      <c r="I342" s="301"/>
      <c r="J342" s="301"/>
      <c r="K342" s="301"/>
      <c r="L342" s="301"/>
      <c r="M342" s="301"/>
      <c r="N342" s="301"/>
    </row>
    <row r="343" spans="1:14" s="5" customFormat="1" ht="8.25" customHeight="1">
      <c r="A343" s="334"/>
      <c r="B343" s="301"/>
      <c r="C343" s="301"/>
      <c r="D343" s="301"/>
      <c r="E343" s="301"/>
      <c r="F343" s="301"/>
      <c r="G343" s="301"/>
      <c r="H343" s="301"/>
      <c r="I343" s="301"/>
      <c r="J343" s="301"/>
      <c r="K343" s="301"/>
      <c r="L343" s="301"/>
      <c r="M343" s="301"/>
      <c r="N343" s="301"/>
    </row>
    <row r="344" spans="1:14" s="5" customFormat="1" ht="15.75">
      <c r="A344" s="334"/>
      <c r="B344" s="304" t="s">
        <v>289</v>
      </c>
      <c r="C344" s="301"/>
      <c r="D344" s="301"/>
      <c r="E344" s="301"/>
      <c r="F344" s="301"/>
      <c r="G344" s="301"/>
      <c r="H344" s="301"/>
      <c r="I344" s="301"/>
      <c r="J344" s="301"/>
      <c r="K344" s="301"/>
      <c r="L344" s="301"/>
      <c r="M344" s="301"/>
      <c r="N344" s="301"/>
    </row>
    <row r="345" spans="1:14" s="5" customFormat="1" ht="15">
      <c r="A345" s="335" t="s">
        <v>265</v>
      </c>
      <c r="B345" s="301" t="s">
        <v>290</v>
      </c>
      <c r="C345" s="301"/>
      <c r="D345" s="301"/>
      <c r="E345" s="301"/>
      <c r="F345" s="301"/>
      <c r="G345" s="301"/>
      <c r="H345" s="301"/>
      <c r="I345" s="301"/>
      <c r="J345" s="301"/>
      <c r="K345" s="301"/>
      <c r="L345" s="301"/>
      <c r="M345" s="301"/>
      <c r="N345" s="301"/>
    </row>
    <row r="346" spans="1:14" s="5" customFormat="1" ht="15">
      <c r="A346" s="335" t="s">
        <v>265</v>
      </c>
      <c r="B346" s="301" t="s">
        <v>291</v>
      </c>
      <c r="C346" s="301"/>
      <c r="D346" s="301"/>
      <c r="E346" s="301"/>
      <c r="F346" s="301"/>
      <c r="G346" s="301"/>
      <c r="H346" s="301"/>
      <c r="I346" s="301"/>
      <c r="J346" s="301"/>
      <c r="K346" s="301"/>
      <c r="L346" s="301"/>
      <c r="M346" s="301"/>
      <c r="N346" s="301"/>
    </row>
    <row r="347" spans="1:14" s="5" customFormat="1" ht="15">
      <c r="A347" s="335" t="s">
        <v>265</v>
      </c>
      <c r="B347" s="301" t="s">
        <v>292</v>
      </c>
      <c r="C347" s="301"/>
      <c r="D347" s="301"/>
      <c r="E347" s="301"/>
      <c r="F347" s="301"/>
      <c r="G347" s="301"/>
      <c r="H347" s="301"/>
      <c r="I347" s="301"/>
      <c r="J347" s="301"/>
      <c r="K347" s="301"/>
      <c r="L347" s="301"/>
      <c r="M347" s="301"/>
      <c r="N347" s="301"/>
    </row>
    <row r="348" spans="1:14" s="5" customFormat="1" ht="15">
      <c r="A348" s="335" t="s">
        <v>265</v>
      </c>
      <c r="B348" s="301" t="s">
        <v>293</v>
      </c>
      <c r="C348" s="301"/>
      <c r="D348" s="301"/>
      <c r="E348" s="301"/>
      <c r="F348" s="301"/>
      <c r="G348" s="301"/>
      <c r="H348" s="301"/>
      <c r="I348" s="301"/>
      <c r="J348" s="301"/>
      <c r="K348" s="301"/>
      <c r="L348" s="301"/>
      <c r="M348" s="301"/>
      <c r="N348" s="301"/>
    </row>
    <row r="349" spans="1:14" s="5" customFormat="1" ht="15">
      <c r="A349" s="335" t="s">
        <v>265</v>
      </c>
      <c r="B349" s="301" t="s">
        <v>294</v>
      </c>
      <c r="C349" s="301"/>
      <c r="D349" s="301"/>
      <c r="E349" s="301"/>
      <c r="F349" s="301"/>
      <c r="G349" s="301"/>
      <c r="H349" s="301"/>
      <c r="I349" s="301"/>
      <c r="J349" s="301"/>
      <c r="K349" s="301"/>
      <c r="L349" s="301"/>
      <c r="M349" s="301"/>
      <c r="N349" s="301"/>
    </row>
    <row r="350" spans="1:14" s="5" customFormat="1" ht="15">
      <c r="A350" s="335" t="s">
        <v>265</v>
      </c>
      <c r="B350" s="301" t="s">
        <v>295</v>
      </c>
      <c r="C350" s="301"/>
      <c r="D350" s="301"/>
      <c r="E350" s="301"/>
      <c r="F350" s="301"/>
      <c r="G350" s="301"/>
      <c r="H350" s="301"/>
      <c r="I350" s="301"/>
      <c r="J350" s="301"/>
      <c r="K350" s="301"/>
      <c r="L350" s="301"/>
      <c r="M350" s="301"/>
      <c r="N350" s="301"/>
    </row>
    <row r="351" spans="1:14" s="5" customFormat="1" ht="8.25" customHeight="1">
      <c r="A351" s="334"/>
      <c r="B351" s="301"/>
      <c r="C351" s="301"/>
      <c r="D351" s="301"/>
      <c r="E351" s="301"/>
      <c r="F351" s="301"/>
      <c r="G351" s="301"/>
      <c r="H351" s="301"/>
      <c r="I351" s="301"/>
      <c r="J351" s="301"/>
      <c r="K351" s="301"/>
      <c r="L351" s="301"/>
      <c r="M351" s="301"/>
      <c r="N351" s="301"/>
    </row>
    <row r="352" spans="1:14" s="5" customFormat="1" ht="15.75">
      <c r="A352" s="334"/>
      <c r="B352" s="304" t="s">
        <v>296</v>
      </c>
      <c r="C352" s="301"/>
      <c r="D352" s="301"/>
      <c r="E352" s="301"/>
      <c r="F352" s="301"/>
      <c r="G352" s="301"/>
      <c r="H352" s="301"/>
      <c r="I352" s="301"/>
      <c r="J352" s="301"/>
      <c r="K352" s="301"/>
      <c r="L352" s="301"/>
      <c r="M352" s="301"/>
      <c r="N352" s="301"/>
    </row>
    <row r="353" spans="1:14" s="5" customFormat="1" ht="15">
      <c r="A353" s="335" t="s">
        <v>265</v>
      </c>
      <c r="B353" s="301" t="s">
        <v>360</v>
      </c>
      <c r="C353" s="301"/>
      <c r="D353" s="301"/>
      <c r="E353" s="301"/>
      <c r="F353" s="301"/>
      <c r="G353" s="301"/>
      <c r="H353" s="301"/>
      <c r="I353" s="301"/>
      <c r="J353" s="301"/>
      <c r="K353" s="301"/>
      <c r="L353" s="301"/>
      <c r="M353" s="301"/>
      <c r="N353" s="301"/>
    </row>
    <row r="354" spans="1:14" s="5" customFormat="1" ht="15">
      <c r="A354" s="335" t="s">
        <v>265</v>
      </c>
      <c r="B354" s="301" t="s">
        <v>297</v>
      </c>
      <c r="C354" s="301"/>
      <c r="D354" s="301"/>
      <c r="E354" s="301"/>
      <c r="F354" s="301"/>
      <c r="G354" s="301"/>
      <c r="H354" s="301"/>
      <c r="I354" s="301"/>
      <c r="J354" s="301"/>
      <c r="K354" s="301"/>
      <c r="L354" s="301"/>
      <c r="M354" s="301"/>
      <c r="N354" s="301"/>
    </row>
    <row r="355" spans="1:14" s="5" customFormat="1" ht="15">
      <c r="A355" s="335" t="s">
        <v>265</v>
      </c>
      <c r="B355" s="301" t="s">
        <v>298</v>
      </c>
      <c r="C355" s="301"/>
      <c r="D355" s="301"/>
      <c r="E355" s="301"/>
      <c r="F355" s="301"/>
      <c r="G355" s="301"/>
      <c r="H355" s="301"/>
      <c r="I355" s="301"/>
      <c r="J355" s="301"/>
      <c r="K355" s="301"/>
      <c r="L355" s="301"/>
      <c r="M355" s="301"/>
      <c r="N355" s="301"/>
    </row>
    <row r="356" spans="1:14" s="5" customFormat="1" ht="15">
      <c r="A356" s="335" t="s">
        <v>265</v>
      </c>
      <c r="B356" s="301" t="s">
        <v>299</v>
      </c>
      <c r="C356" s="301"/>
      <c r="D356" s="301"/>
      <c r="E356" s="301"/>
      <c r="F356" s="301"/>
      <c r="G356" s="301"/>
      <c r="H356" s="301"/>
      <c r="I356" s="301"/>
      <c r="J356" s="301"/>
      <c r="K356" s="301"/>
      <c r="L356" s="301"/>
      <c r="M356" s="301"/>
      <c r="N356" s="301"/>
    </row>
    <row r="357" spans="1:14" s="5" customFormat="1" ht="15">
      <c r="A357" s="335" t="s">
        <v>265</v>
      </c>
      <c r="B357" s="301" t="s">
        <v>300</v>
      </c>
      <c r="C357" s="301"/>
      <c r="D357" s="301"/>
      <c r="E357" s="301"/>
      <c r="F357" s="301"/>
      <c r="G357" s="301"/>
      <c r="H357" s="301"/>
      <c r="I357" s="301"/>
      <c r="J357" s="301"/>
      <c r="K357" s="301"/>
      <c r="L357" s="301"/>
      <c r="M357" s="301"/>
      <c r="N357" s="301"/>
    </row>
    <row r="358" spans="1:14" s="5" customFormat="1" ht="15">
      <c r="A358" s="335" t="s">
        <v>265</v>
      </c>
      <c r="B358" s="301" t="s">
        <v>301</v>
      </c>
      <c r="C358" s="301"/>
      <c r="D358" s="301"/>
      <c r="E358" s="301"/>
      <c r="F358" s="301"/>
      <c r="G358" s="301"/>
      <c r="H358" s="301"/>
      <c r="I358" s="301"/>
      <c r="J358" s="301"/>
      <c r="K358" s="301"/>
      <c r="L358" s="301"/>
      <c r="M358" s="301"/>
      <c r="N358" s="301"/>
    </row>
    <row r="359" spans="1:14" s="5" customFormat="1" ht="15">
      <c r="A359" s="335" t="s">
        <v>265</v>
      </c>
      <c r="B359" s="301" t="s">
        <v>302</v>
      </c>
      <c r="C359" s="301"/>
      <c r="D359" s="301"/>
      <c r="E359" s="301"/>
      <c r="F359" s="301"/>
      <c r="G359" s="301"/>
      <c r="H359" s="301"/>
      <c r="I359" s="301"/>
      <c r="J359" s="301"/>
      <c r="K359" s="301"/>
      <c r="L359" s="301"/>
      <c r="M359" s="301"/>
      <c r="N359" s="301"/>
    </row>
    <row r="360" spans="1:14" s="5" customFormat="1" ht="15">
      <c r="A360" s="335" t="s">
        <v>265</v>
      </c>
      <c r="B360" s="301" t="s">
        <v>303</v>
      </c>
      <c r="C360" s="301"/>
      <c r="D360" s="301"/>
      <c r="E360" s="301"/>
      <c r="F360" s="301"/>
      <c r="G360" s="301"/>
      <c r="H360" s="301"/>
      <c r="I360" s="301"/>
      <c r="J360" s="301"/>
      <c r="K360" s="301"/>
      <c r="L360" s="301"/>
      <c r="M360" s="301"/>
      <c r="N360" s="301"/>
    </row>
    <row r="361" spans="1:14" s="5" customFormat="1" ht="15">
      <c r="A361" s="335" t="s">
        <v>265</v>
      </c>
      <c r="B361" s="301" t="s">
        <v>304</v>
      </c>
      <c r="C361" s="301"/>
      <c r="D361" s="301"/>
      <c r="E361" s="301"/>
      <c r="F361" s="301"/>
      <c r="G361" s="301"/>
      <c r="H361" s="301"/>
      <c r="I361" s="301"/>
      <c r="J361" s="301"/>
      <c r="K361" s="301"/>
      <c r="L361" s="301"/>
      <c r="M361" s="301"/>
      <c r="N361" s="301"/>
    </row>
    <row r="362" spans="1:14" s="5" customFormat="1" ht="15">
      <c r="A362" s="335" t="s">
        <v>265</v>
      </c>
      <c r="B362" s="301" t="s">
        <v>305</v>
      </c>
      <c r="C362" s="301"/>
      <c r="D362" s="301"/>
      <c r="E362" s="301"/>
      <c r="F362" s="301"/>
      <c r="G362" s="301"/>
      <c r="H362" s="301"/>
      <c r="I362" s="301"/>
      <c r="J362" s="301"/>
      <c r="K362" s="301"/>
      <c r="L362" s="301"/>
      <c r="M362" s="301"/>
      <c r="N362" s="301"/>
    </row>
    <row r="363" spans="1:14" s="5" customFormat="1" ht="15">
      <c r="A363" s="335" t="s">
        <v>265</v>
      </c>
      <c r="B363" s="301" t="s">
        <v>306</v>
      </c>
      <c r="C363" s="301"/>
      <c r="D363" s="301"/>
      <c r="E363" s="301"/>
      <c r="F363" s="301"/>
      <c r="G363" s="301"/>
      <c r="H363" s="301"/>
      <c r="I363" s="301"/>
      <c r="J363" s="301"/>
      <c r="K363" s="301"/>
      <c r="L363" s="301"/>
      <c r="M363" s="301"/>
      <c r="N363" s="301"/>
    </row>
    <row r="364" spans="1:14" s="5" customFormat="1" ht="8.25" customHeight="1">
      <c r="A364" s="334"/>
      <c r="B364" s="301"/>
      <c r="C364" s="301"/>
      <c r="D364" s="301"/>
      <c r="E364" s="301"/>
      <c r="F364" s="301"/>
      <c r="G364" s="301"/>
      <c r="H364" s="301"/>
      <c r="I364" s="301"/>
      <c r="J364" s="301"/>
      <c r="K364" s="301"/>
      <c r="L364" s="301"/>
      <c r="M364" s="301"/>
      <c r="N364" s="301"/>
    </row>
    <row r="365" spans="1:14" s="5" customFormat="1" ht="15.75">
      <c r="A365" s="334"/>
      <c r="B365" s="304" t="s">
        <v>307</v>
      </c>
      <c r="C365" s="301"/>
      <c r="D365" s="301"/>
      <c r="E365" s="301"/>
      <c r="F365" s="301"/>
      <c r="G365" s="301"/>
      <c r="H365" s="301"/>
      <c r="I365" s="301"/>
      <c r="J365" s="301"/>
      <c r="K365" s="301"/>
      <c r="L365" s="301"/>
      <c r="M365" s="301"/>
      <c r="N365" s="301"/>
    </row>
    <row r="366" spans="1:14" s="5" customFormat="1" ht="15">
      <c r="A366" s="335" t="s">
        <v>265</v>
      </c>
      <c r="B366" s="301" t="s">
        <v>361</v>
      </c>
      <c r="C366" s="301"/>
      <c r="D366" s="301"/>
      <c r="E366" s="301"/>
      <c r="F366" s="301"/>
      <c r="G366" s="301"/>
      <c r="H366" s="301"/>
      <c r="I366" s="301"/>
      <c r="J366" s="301"/>
      <c r="K366" s="301"/>
      <c r="L366" s="301"/>
      <c r="M366" s="301"/>
      <c r="N366" s="301"/>
    </row>
    <row r="367" spans="1:14" s="5" customFormat="1" ht="15">
      <c r="A367" s="335" t="s">
        <v>265</v>
      </c>
      <c r="B367" s="301" t="s">
        <v>308</v>
      </c>
      <c r="C367" s="301"/>
      <c r="D367" s="301"/>
      <c r="E367" s="301"/>
      <c r="F367" s="301"/>
      <c r="G367" s="301"/>
      <c r="H367" s="301"/>
      <c r="I367" s="301"/>
      <c r="J367" s="301"/>
      <c r="K367" s="301"/>
      <c r="L367" s="301"/>
      <c r="M367" s="301"/>
      <c r="N367" s="301"/>
    </row>
    <row r="368" spans="1:14" s="5" customFormat="1" ht="15">
      <c r="A368" s="335" t="s">
        <v>265</v>
      </c>
      <c r="B368" s="301" t="s">
        <v>309</v>
      </c>
      <c r="C368" s="301"/>
      <c r="D368" s="301"/>
      <c r="E368" s="301"/>
      <c r="F368" s="301"/>
      <c r="G368" s="301"/>
      <c r="H368" s="301"/>
      <c r="I368" s="301"/>
      <c r="J368" s="301"/>
      <c r="K368" s="301"/>
      <c r="L368" s="301"/>
      <c r="M368" s="301"/>
      <c r="N368" s="301"/>
    </row>
    <row r="369" spans="1:14" s="5" customFormat="1" ht="15">
      <c r="A369" s="335" t="s">
        <v>265</v>
      </c>
      <c r="B369" s="301" t="s">
        <v>310</v>
      </c>
      <c r="C369" s="301"/>
      <c r="D369" s="301"/>
      <c r="E369" s="301"/>
      <c r="F369" s="301"/>
      <c r="G369" s="301"/>
      <c r="H369" s="301"/>
      <c r="I369" s="301"/>
      <c r="J369" s="301"/>
      <c r="K369" s="301"/>
      <c r="L369" s="301"/>
      <c r="M369" s="301"/>
      <c r="N369" s="301"/>
    </row>
    <row r="370" spans="1:14" s="5" customFormat="1" ht="15">
      <c r="A370" s="335" t="s">
        <v>265</v>
      </c>
      <c r="B370" s="301" t="s">
        <v>311</v>
      </c>
      <c r="C370" s="301"/>
      <c r="D370" s="301"/>
      <c r="E370" s="301"/>
      <c r="F370" s="301"/>
      <c r="G370" s="301"/>
      <c r="H370" s="301"/>
      <c r="I370" s="301"/>
      <c r="J370" s="301"/>
      <c r="K370" s="301"/>
      <c r="L370" s="301"/>
      <c r="M370" s="301"/>
      <c r="N370" s="301"/>
    </row>
    <row r="371" spans="1:14" s="5" customFormat="1" ht="15">
      <c r="A371" s="335" t="s">
        <v>265</v>
      </c>
      <c r="B371" s="301" t="s">
        <v>312</v>
      </c>
      <c r="C371" s="301"/>
      <c r="D371" s="301"/>
      <c r="E371" s="301"/>
      <c r="F371" s="301"/>
      <c r="G371" s="301"/>
      <c r="H371" s="301"/>
      <c r="I371" s="301"/>
      <c r="J371" s="301"/>
      <c r="K371" s="301"/>
      <c r="L371" s="301"/>
      <c r="M371" s="301"/>
      <c r="N371" s="301"/>
    </row>
    <row r="372" spans="1:14" s="5" customFormat="1" ht="18">
      <c r="A372" s="30" t="str">
        <f>+A$41</f>
        <v>MyCo</v>
      </c>
      <c r="B372" s="30"/>
      <c r="C372" s="30"/>
      <c r="D372" s="30"/>
      <c r="E372" s="30"/>
      <c r="F372" s="30"/>
      <c r="G372" s="30"/>
      <c r="H372" s="30"/>
      <c r="I372" s="30"/>
      <c r="J372" s="30"/>
      <c r="K372" s="30"/>
      <c r="L372" s="30"/>
      <c r="M372" s="30"/>
      <c r="N372" s="318" t="str">
        <f>Cover!$A$17</f>
        <v>Draft 1.0</v>
      </c>
    </row>
    <row r="373" spans="1:14" s="5" customFormat="1" ht="23.25">
      <c r="A373" s="317" t="s">
        <v>362</v>
      </c>
      <c r="B373" s="30"/>
      <c r="C373" s="30"/>
      <c r="D373" s="30"/>
      <c r="E373" s="30"/>
      <c r="F373" s="30"/>
      <c r="G373" s="30"/>
      <c r="H373" s="30"/>
      <c r="I373" s="30"/>
      <c r="J373" s="30"/>
      <c r="K373" s="30"/>
      <c r="L373" s="30"/>
      <c r="M373" s="30"/>
      <c r="N373" s="30"/>
    </row>
    <row r="374" spans="1:14" s="5" customFormat="1" ht="15">
      <c r="A374" s="334"/>
      <c r="B374" s="301"/>
      <c r="C374" s="301"/>
      <c r="D374" s="301"/>
      <c r="E374" s="301"/>
      <c r="F374" s="301"/>
      <c r="G374" s="301"/>
      <c r="H374" s="301"/>
      <c r="I374" s="301"/>
      <c r="J374" s="301"/>
      <c r="K374" s="301"/>
      <c r="L374" s="301"/>
      <c r="M374" s="301"/>
      <c r="N374" s="301"/>
    </row>
    <row r="375" spans="1:14" s="5" customFormat="1" ht="15.75">
      <c r="A375" s="334"/>
      <c r="B375" s="304" t="s">
        <v>313</v>
      </c>
      <c r="C375" s="301"/>
      <c r="D375" s="301"/>
      <c r="E375" s="301"/>
      <c r="F375" s="301"/>
      <c r="G375" s="301"/>
      <c r="H375" s="301"/>
      <c r="I375" s="301"/>
      <c r="J375" s="301"/>
      <c r="K375" s="301"/>
      <c r="L375" s="301"/>
      <c r="M375" s="301"/>
      <c r="N375" s="301"/>
    </row>
    <row r="376" spans="1:14" s="5" customFormat="1" ht="15">
      <c r="A376" s="335" t="s">
        <v>265</v>
      </c>
      <c r="B376" s="301" t="s">
        <v>314</v>
      </c>
      <c r="C376" s="301"/>
      <c r="D376" s="301"/>
      <c r="E376" s="301"/>
      <c r="F376" s="301"/>
      <c r="G376" s="301"/>
      <c r="H376" s="301"/>
      <c r="I376" s="301"/>
      <c r="J376" s="301"/>
      <c r="K376" s="301"/>
      <c r="L376" s="301"/>
      <c r="M376" s="301"/>
      <c r="N376" s="301"/>
    </row>
    <row r="377" spans="1:14" s="5" customFormat="1" ht="15">
      <c r="A377" s="335" t="s">
        <v>265</v>
      </c>
      <c r="B377" s="301" t="s">
        <v>315</v>
      </c>
      <c r="C377" s="301"/>
      <c r="D377" s="301"/>
      <c r="E377" s="301"/>
      <c r="F377" s="301"/>
      <c r="G377" s="301"/>
      <c r="H377" s="301"/>
      <c r="I377" s="301"/>
      <c r="J377" s="301"/>
      <c r="K377" s="301"/>
      <c r="L377" s="301"/>
      <c r="M377" s="301"/>
      <c r="N377" s="301"/>
    </row>
    <row r="378" spans="1:14" s="5" customFormat="1" ht="15">
      <c r="A378" s="335" t="s">
        <v>265</v>
      </c>
      <c r="B378" s="301" t="s">
        <v>316</v>
      </c>
      <c r="C378" s="301"/>
      <c r="D378" s="301"/>
      <c r="E378" s="301"/>
      <c r="F378" s="301"/>
      <c r="G378" s="301"/>
      <c r="H378" s="301"/>
      <c r="I378" s="301"/>
      <c r="J378" s="301"/>
      <c r="K378" s="301"/>
      <c r="L378" s="301"/>
      <c r="M378" s="301"/>
      <c r="N378" s="301"/>
    </row>
    <row r="379" spans="1:14" s="5" customFormat="1" ht="8.25" customHeight="1">
      <c r="A379" s="334"/>
      <c r="B379" s="301"/>
      <c r="C379" s="301"/>
      <c r="D379" s="301"/>
      <c r="E379" s="301"/>
      <c r="F379" s="301"/>
      <c r="G379" s="301"/>
      <c r="H379" s="301"/>
      <c r="I379" s="301"/>
      <c r="J379" s="301"/>
      <c r="K379" s="301"/>
      <c r="L379" s="301"/>
      <c r="M379" s="301"/>
      <c r="N379" s="301"/>
    </row>
    <row r="380" spans="1:14" s="5" customFormat="1" ht="15.75">
      <c r="A380" s="334"/>
      <c r="B380" s="304" t="s">
        <v>317</v>
      </c>
      <c r="C380" s="301"/>
      <c r="D380" s="301"/>
      <c r="E380" s="301"/>
      <c r="F380" s="301"/>
      <c r="G380" s="301"/>
      <c r="H380" s="301"/>
      <c r="I380" s="301"/>
      <c r="J380" s="301"/>
      <c r="K380" s="301"/>
      <c r="L380" s="301"/>
      <c r="M380" s="301"/>
      <c r="N380" s="301"/>
    </row>
    <row r="381" spans="1:14" s="5" customFormat="1" ht="15">
      <c r="A381" s="335" t="s">
        <v>265</v>
      </c>
      <c r="B381" s="301" t="s">
        <v>318</v>
      </c>
      <c r="C381" s="301"/>
      <c r="D381" s="301"/>
      <c r="E381" s="301"/>
      <c r="F381" s="301"/>
      <c r="G381" s="301"/>
      <c r="H381" s="301"/>
      <c r="I381" s="301"/>
      <c r="J381" s="301"/>
      <c r="K381" s="301"/>
      <c r="L381" s="301"/>
      <c r="M381" s="301"/>
      <c r="N381" s="301"/>
    </row>
    <row r="382" spans="1:14" s="5" customFormat="1" ht="15">
      <c r="A382" s="335" t="s">
        <v>265</v>
      </c>
      <c r="B382" s="301" t="s">
        <v>319</v>
      </c>
      <c r="C382" s="301"/>
      <c r="D382" s="301"/>
      <c r="E382" s="301"/>
      <c r="F382" s="301"/>
      <c r="G382" s="301"/>
      <c r="H382" s="301"/>
      <c r="I382" s="301"/>
      <c r="J382" s="301"/>
      <c r="K382" s="301"/>
      <c r="L382" s="301"/>
      <c r="M382" s="301"/>
      <c r="N382" s="301"/>
    </row>
    <row r="383" spans="1:14" s="5" customFormat="1" ht="15">
      <c r="A383" s="335" t="s">
        <v>265</v>
      </c>
      <c r="B383" s="301" t="s">
        <v>320</v>
      </c>
      <c r="C383" s="301"/>
      <c r="D383" s="301"/>
      <c r="E383" s="301"/>
      <c r="F383" s="301"/>
      <c r="G383" s="301"/>
      <c r="H383" s="301"/>
      <c r="I383" s="301"/>
      <c r="J383" s="301"/>
      <c r="K383" s="301"/>
      <c r="L383" s="301"/>
      <c r="M383" s="301"/>
      <c r="N383" s="301"/>
    </row>
    <row r="384" spans="1:14" s="5" customFormat="1" ht="15">
      <c r="A384" s="335" t="s">
        <v>265</v>
      </c>
      <c r="B384" s="301" t="s">
        <v>321</v>
      </c>
      <c r="C384" s="301"/>
      <c r="D384" s="301"/>
      <c r="E384" s="301"/>
      <c r="F384" s="301"/>
      <c r="G384" s="301"/>
      <c r="H384" s="301"/>
      <c r="I384" s="301"/>
      <c r="J384" s="301"/>
      <c r="K384" s="301"/>
      <c r="L384" s="301"/>
      <c r="M384" s="301"/>
      <c r="N384" s="301"/>
    </row>
    <row r="385" spans="1:14" s="5" customFormat="1" ht="8.25" customHeight="1">
      <c r="A385" s="334"/>
      <c r="B385" s="301"/>
      <c r="C385" s="301"/>
      <c r="D385" s="301"/>
      <c r="E385" s="301"/>
      <c r="F385" s="301"/>
      <c r="G385" s="301"/>
      <c r="H385" s="301"/>
      <c r="I385" s="301"/>
      <c r="J385" s="301"/>
      <c r="K385" s="301"/>
      <c r="L385" s="301"/>
      <c r="M385" s="301"/>
      <c r="N385" s="301"/>
    </row>
    <row r="386" spans="1:14" s="5" customFormat="1" ht="15.75">
      <c r="A386" s="334"/>
      <c r="B386" s="304" t="s">
        <v>322</v>
      </c>
      <c r="C386" s="301"/>
      <c r="D386" s="301"/>
      <c r="E386" s="301"/>
      <c r="F386" s="301"/>
      <c r="G386" s="301"/>
      <c r="H386" s="301"/>
      <c r="I386" s="301"/>
      <c r="J386" s="301"/>
      <c r="K386" s="301"/>
      <c r="L386" s="301"/>
      <c r="M386" s="301"/>
      <c r="N386" s="301"/>
    </row>
    <row r="387" spans="1:14" s="5" customFormat="1" ht="15">
      <c r="A387" s="335" t="s">
        <v>265</v>
      </c>
      <c r="B387" s="301" t="s">
        <v>323</v>
      </c>
      <c r="C387" s="301"/>
      <c r="D387" s="301"/>
      <c r="E387" s="301"/>
      <c r="F387" s="301"/>
      <c r="G387" s="301"/>
      <c r="H387" s="301"/>
      <c r="I387" s="301"/>
      <c r="J387" s="301"/>
      <c r="K387" s="301"/>
      <c r="L387" s="301"/>
      <c r="M387" s="301"/>
      <c r="N387" s="301"/>
    </row>
    <row r="388" spans="1:14" s="5" customFormat="1" ht="15">
      <c r="A388" s="335" t="s">
        <v>265</v>
      </c>
      <c r="B388" s="301" t="s">
        <v>324</v>
      </c>
      <c r="C388" s="301"/>
      <c r="D388" s="301"/>
      <c r="E388" s="301"/>
      <c r="F388" s="301"/>
      <c r="G388" s="301"/>
      <c r="H388" s="301"/>
      <c r="I388" s="301"/>
      <c r="J388" s="301"/>
      <c r="K388" s="301"/>
      <c r="L388" s="301"/>
      <c r="M388" s="301"/>
      <c r="N388" s="301"/>
    </row>
    <row r="389" spans="1:14" s="5" customFormat="1" ht="15">
      <c r="A389" s="335" t="s">
        <v>265</v>
      </c>
      <c r="B389" s="301" t="s">
        <v>325</v>
      </c>
      <c r="C389" s="301"/>
      <c r="D389" s="301"/>
      <c r="E389" s="301"/>
      <c r="F389" s="301"/>
      <c r="G389" s="301"/>
      <c r="H389" s="301"/>
      <c r="I389" s="301"/>
      <c r="J389" s="301"/>
      <c r="K389" s="301"/>
      <c r="L389" s="301"/>
      <c r="M389" s="301"/>
      <c r="N389" s="301"/>
    </row>
    <row r="390" spans="1:14" s="5" customFormat="1" ht="15">
      <c r="A390" s="335" t="s">
        <v>265</v>
      </c>
      <c r="B390" s="301" t="s">
        <v>326</v>
      </c>
      <c r="C390" s="301"/>
      <c r="D390" s="301"/>
      <c r="E390" s="301"/>
      <c r="F390" s="301"/>
      <c r="G390" s="301"/>
      <c r="H390" s="301"/>
      <c r="I390" s="301"/>
      <c r="J390" s="301"/>
      <c r="K390" s="301"/>
      <c r="L390" s="301"/>
      <c r="M390" s="301"/>
      <c r="N390" s="301"/>
    </row>
    <row r="391" spans="1:14" s="5" customFormat="1" ht="15">
      <c r="A391" s="335" t="s">
        <v>265</v>
      </c>
      <c r="B391" s="301" t="s">
        <v>327</v>
      </c>
      <c r="C391" s="301"/>
      <c r="D391" s="301"/>
      <c r="E391" s="301"/>
      <c r="F391" s="301"/>
      <c r="G391" s="301"/>
      <c r="H391" s="301"/>
      <c r="I391" s="301"/>
      <c r="J391" s="301"/>
      <c r="K391" s="301"/>
      <c r="L391" s="301"/>
      <c r="M391" s="301"/>
      <c r="N391" s="301"/>
    </row>
    <row r="392" spans="1:14" s="5" customFormat="1" ht="15">
      <c r="A392" s="335" t="s">
        <v>265</v>
      </c>
      <c r="B392" s="301" t="s">
        <v>328</v>
      </c>
      <c r="C392" s="301"/>
      <c r="D392" s="301"/>
      <c r="E392" s="301"/>
      <c r="F392" s="301"/>
      <c r="G392" s="301"/>
      <c r="H392" s="301"/>
      <c r="I392" s="301"/>
      <c r="J392" s="301"/>
      <c r="K392" s="301"/>
      <c r="L392" s="301"/>
      <c r="M392" s="301"/>
      <c r="N392" s="301"/>
    </row>
    <row r="393" spans="1:14" s="5" customFormat="1" ht="15">
      <c r="A393" s="335" t="s">
        <v>265</v>
      </c>
      <c r="B393" s="301" t="s">
        <v>329</v>
      </c>
      <c r="C393" s="301"/>
      <c r="D393" s="301"/>
      <c r="E393" s="301"/>
      <c r="F393" s="301"/>
      <c r="G393" s="301"/>
      <c r="H393" s="301"/>
      <c r="I393" s="301"/>
      <c r="J393" s="301"/>
      <c r="K393" s="301"/>
      <c r="L393" s="301"/>
      <c r="M393" s="301"/>
      <c r="N393" s="301"/>
    </row>
    <row r="394" spans="1:14" s="5" customFormat="1" ht="15">
      <c r="A394" s="335" t="s">
        <v>265</v>
      </c>
      <c r="B394" s="301" t="s">
        <v>330</v>
      </c>
      <c r="C394" s="301"/>
      <c r="D394" s="301"/>
      <c r="E394" s="301"/>
      <c r="F394" s="301"/>
      <c r="G394" s="301"/>
      <c r="H394" s="301"/>
      <c r="I394" s="301"/>
      <c r="J394" s="301"/>
      <c r="K394" s="301"/>
      <c r="L394" s="301"/>
      <c r="M394" s="301"/>
      <c r="N394" s="301"/>
    </row>
    <row r="395" spans="1:14" s="5" customFormat="1" ht="15">
      <c r="A395" s="335" t="s">
        <v>265</v>
      </c>
      <c r="B395" s="301" t="s">
        <v>331</v>
      </c>
      <c r="C395" s="301"/>
      <c r="D395" s="301"/>
      <c r="E395" s="301"/>
      <c r="F395" s="301"/>
      <c r="G395" s="301"/>
      <c r="H395" s="301"/>
      <c r="I395" s="301"/>
      <c r="J395" s="301"/>
      <c r="K395" s="301"/>
      <c r="L395" s="301"/>
      <c r="M395" s="301"/>
      <c r="N395" s="301"/>
    </row>
    <row r="396" spans="1:14" s="5" customFormat="1" ht="15">
      <c r="A396" s="335" t="s">
        <v>265</v>
      </c>
      <c r="B396" s="301" t="s">
        <v>332</v>
      </c>
      <c r="C396" s="301"/>
      <c r="D396" s="301"/>
      <c r="E396" s="301"/>
      <c r="F396" s="301"/>
      <c r="G396" s="301"/>
      <c r="H396" s="301"/>
      <c r="I396" s="301"/>
      <c r="J396" s="301"/>
      <c r="K396" s="301"/>
      <c r="L396" s="301"/>
      <c r="M396" s="301"/>
      <c r="N396" s="301"/>
    </row>
    <row r="397" spans="1:14" s="5" customFormat="1" ht="15">
      <c r="A397" s="335" t="s">
        <v>265</v>
      </c>
      <c r="B397" s="301" t="s">
        <v>333</v>
      </c>
      <c r="C397" s="301"/>
      <c r="D397" s="301"/>
      <c r="E397" s="301"/>
      <c r="F397" s="301"/>
      <c r="G397" s="301"/>
      <c r="H397" s="301"/>
      <c r="I397" s="301"/>
      <c r="J397" s="301"/>
      <c r="K397" s="301"/>
      <c r="L397" s="301"/>
      <c r="M397" s="301"/>
      <c r="N397" s="301"/>
    </row>
    <row r="398" spans="1:14" s="5" customFormat="1" ht="8.25" customHeight="1">
      <c r="A398" s="334"/>
      <c r="B398" s="301"/>
      <c r="C398" s="301"/>
      <c r="D398" s="301"/>
      <c r="E398" s="301"/>
      <c r="F398" s="301"/>
      <c r="G398" s="301"/>
      <c r="H398" s="301"/>
      <c r="I398" s="301"/>
      <c r="J398" s="301"/>
      <c r="K398" s="301"/>
      <c r="L398" s="301"/>
      <c r="M398" s="301"/>
      <c r="N398" s="301"/>
    </row>
    <row r="399" spans="1:14" s="5" customFormat="1" ht="15.75">
      <c r="A399" s="334"/>
      <c r="B399" s="304" t="s">
        <v>334</v>
      </c>
      <c r="C399" s="301"/>
      <c r="D399" s="301"/>
      <c r="E399" s="301"/>
      <c r="F399" s="301"/>
      <c r="G399" s="301"/>
      <c r="H399" s="301"/>
      <c r="I399" s="301"/>
      <c r="J399" s="301"/>
      <c r="K399" s="301"/>
      <c r="L399" s="301"/>
      <c r="M399" s="301"/>
      <c r="N399" s="301"/>
    </row>
    <row r="400" spans="1:14" s="5" customFormat="1" ht="15">
      <c r="A400" s="335" t="s">
        <v>265</v>
      </c>
      <c r="B400" s="301" t="s">
        <v>335</v>
      </c>
      <c r="C400" s="301"/>
      <c r="D400" s="301"/>
      <c r="E400" s="301"/>
      <c r="F400" s="301"/>
      <c r="G400" s="301"/>
      <c r="H400" s="301"/>
      <c r="I400" s="301"/>
      <c r="J400" s="301"/>
      <c r="K400" s="301"/>
      <c r="L400" s="301"/>
      <c r="M400" s="301"/>
      <c r="N400" s="301"/>
    </row>
    <row r="401" spans="1:14" s="5" customFormat="1" ht="15">
      <c r="A401" s="335" t="s">
        <v>265</v>
      </c>
      <c r="B401" s="301" t="s">
        <v>336</v>
      </c>
      <c r="C401" s="301"/>
      <c r="D401" s="301"/>
      <c r="E401" s="301"/>
      <c r="F401" s="301"/>
      <c r="G401" s="301"/>
      <c r="H401" s="301"/>
      <c r="I401" s="301"/>
      <c r="J401" s="301"/>
      <c r="K401" s="301"/>
      <c r="L401" s="301"/>
      <c r="M401" s="301"/>
      <c r="N401" s="301"/>
    </row>
    <row r="402" spans="1:14" s="5" customFormat="1" ht="15">
      <c r="A402" s="335" t="s">
        <v>265</v>
      </c>
      <c r="B402" s="301" t="s">
        <v>337</v>
      </c>
      <c r="C402" s="301"/>
      <c r="D402" s="301"/>
      <c r="E402" s="301"/>
      <c r="F402" s="301"/>
      <c r="G402" s="301"/>
      <c r="H402" s="301"/>
      <c r="I402" s="301"/>
      <c r="J402" s="301"/>
      <c r="K402" s="301"/>
      <c r="L402" s="301"/>
      <c r="M402" s="301"/>
      <c r="N402" s="301"/>
    </row>
    <row r="403" spans="1:14" s="5" customFormat="1" ht="15">
      <c r="A403" s="335" t="s">
        <v>265</v>
      </c>
      <c r="B403" s="301" t="s">
        <v>338</v>
      </c>
      <c r="C403" s="301"/>
      <c r="D403" s="301"/>
      <c r="E403" s="301"/>
      <c r="F403" s="301"/>
      <c r="G403" s="301"/>
      <c r="H403" s="301"/>
      <c r="I403" s="301"/>
      <c r="J403" s="301"/>
      <c r="K403" s="301"/>
      <c r="L403" s="301"/>
      <c r="M403" s="301"/>
      <c r="N403" s="301"/>
    </row>
    <row r="404" spans="1:14" s="5" customFormat="1" ht="15">
      <c r="A404" s="335" t="s">
        <v>265</v>
      </c>
      <c r="B404" s="301" t="s">
        <v>339</v>
      </c>
      <c r="C404" s="301"/>
      <c r="D404" s="301"/>
      <c r="E404" s="301"/>
      <c r="F404" s="301"/>
      <c r="G404" s="301"/>
      <c r="H404" s="301"/>
      <c r="I404" s="301"/>
      <c r="J404" s="301"/>
      <c r="K404" s="301"/>
      <c r="L404" s="301"/>
      <c r="M404" s="301"/>
      <c r="N404" s="301"/>
    </row>
    <row r="405" spans="1:14" s="5" customFormat="1" ht="15">
      <c r="A405" s="335" t="s">
        <v>265</v>
      </c>
      <c r="B405" s="301" t="s">
        <v>340</v>
      </c>
      <c r="C405" s="301"/>
      <c r="D405" s="301"/>
      <c r="E405" s="301"/>
      <c r="F405" s="301"/>
      <c r="G405" s="301"/>
      <c r="H405" s="301"/>
      <c r="I405" s="301"/>
      <c r="J405" s="301"/>
      <c r="K405" s="301"/>
      <c r="L405" s="301"/>
      <c r="M405" s="301"/>
      <c r="N405" s="301"/>
    </row>
    <row r="406" spans="1:14" s="5" customFormat="1" ht="15">
      <c r="A406" s="335" t="s">
        <v>265</v>
      </c>
      <c r="B406" s="301" t="s">
        <v>341</v>
      </c>
      <c r="C406" s="301"/>
      <c r="D406" s="301"/>
      <c r="E406" s="301"/>
      <c r="F406" s="301"/>
      <c r="G406" s="301"/>
      <c r="H406" s="301"/>
      <c r="I406" s="301"/>
      <c r="J406" s="301"/>
      <c r="K406" s="301"/>
      <c r="L406" s="301"/>
      <c r="M406" s="301"/>
      <c r="N406" s="301"/>
    </row>
    <row r="407" spans="1:14" s="5" customFormat="1" ht="15">
      <c r="A407" s="335" t="s">
        <v>265</v>
      </c>
      <c r="B407" s="301" t="s">
        <v>342</v>
      </c>
      <c r="C407" s="301"/>
      <c r="D407" s="301"/>
      <c r="E407" s="301"/>
      <c r="F407" s="301"/>
      <c r="G407" s="301"/>
      <c r="H407" s="301"/>
      <c r="I407" s="301"/>
      <c r="J407" s="301"/>
      <c r="K407" s="301"/>
      <c r="L407" s="301"/>
      <c r="M407" s="301"/>
      <c r="N407" s="301"/>
    </row>
    <row r="408" spans="1:14" s="5" customFormat="1" ht="15">
      <c r="A408" s="335" t="s">
        <v>265</v>
      </c>
      <c r="B408" s="301" t="s">
        <v>343</v>
      </c>
      <c r="C408" s="301"/>
      <c r="D408" s="301"/>
      <c r="E408" s="301"/>
      <c r="F408" s="301"/>
      <c r="G408" s="301"/>
      <c r="H408" s="301"/>
      <c r="I408" s="301"/>
      <c r="J408" s="301"/>
      <c r="K408" s="301"/>
      <c r="L408" s="301"/>
      <c r="M408" s="301"/>
      <c r="N408" s="301"/>
    </row>
    <row r="409" spans="1:14" s="5" customFormat="1" ht="15">
      <c r="A409" s="335" t="s">
        <v>265</v>
      </c>
      <c r="B409" s="301" t="s">
        <v>344</v>
      </c>
      <c r="C409" s="301"/>
      <c r="D409" s="301"/>
      <c r="E409" s="301"/>
      <c r="F409" s="301"/>
      <c r="G409" s="301"/>
      <c r="H409" s="301"/>
      <c r="I409" s="301"/>
      <c r="J409" s="301"/>
      <c r="K409" s="301"/>
      <c r="L409" s="301"/>
      <c r="M409" s="301"/>
      <c r="N409" s="301"/>
    </row>
    <row r="410" spans="1:14" s="5" customFormat="1" ht="15">
      <c r="A410" s="335" t="s">
        <v>265</v>
      </c>
      <c r="B410" s="301" t="s">
        <v>345</v>
      </c>
      <c r="C410" s="301"/>
      <c r="D410" s="301"/>
      <c r="E410" s="301"/>
      <c r="F410" s="301"/>
      <c r="G410" s="301"/>
      <c r="H410" s="301"/>
      <c r="I410" s="301"/>
      <c r="J410" s="301"/>
      <c r="K410" s="301"/>
      <c r="L410" s="301"/>
      <c r="M410" s="301"/>
      <c r="N410" s="301"/>
    </row>
    <row r="411" spans="1:14" s="5" customFormat="1" ht="8.25" customHeight="1">
      <c r="A411" s="334"/>
      <c r="B411" s="301"/>
      <c r="C411" s="301"/>
      <c r="D411" s="301"/>
      <c r="E411" s="301"/>
      <c r="F411" s="301"/>
      <c r="G411" s="301"/>
      <c r="H411" s="301"/>
      <c r="I411" s="301"/>
      <c r="J411" s="301"/>
      <c r="K411" s="301"/>
      <c r="L411" s="301"/>
      <c r="M411" s="301"/>
      <c r="N411" s="301"/>
    </row>
    <row r="412" spans="1:14" s="5" customFormat="1" ht="15.75">
      <c r="A412" s="334"/>
      <c r="B412" s="304" t="s">
        <v>346</v>
      </c>
      <c r="C412" s="301"/>
      <c r="D412" s="301"/>
      <c r="E412" s="301"/>
      <c r="F412" s="301"/>
      <c r="G412" s="301"/>
      <c r="H412" s="301"/>
      <c r="I412" s="301"/>
      <c r="J412" s="301"/>
      <c r="K412" s="301"/>
      <c r="L412" s="301"/>
      <c r="M412" s="301"/>
      <c r="N412" s="301"/>
    </row>
    <row r="413" spans="1:14" s="5" customFormat="1" ht="15">
      <c r="A413" s="335" t="s">
        <v>265</v>
      </c>
      <c r="B413" s="301" t="s">
        <v>347</v>
      </c>
      <c r="C413" s="301"/>
      <c r="D413" s="301"/>
      <c r="E413" s="301"/>
      <c r="F413" s="301"/>
      <c r="G413" s="301"/>
      <c r="H413" s="301"/>
      <c r="I413" s="301"/>
      <c r="J413" s="301"/>
      <c r="K413" s="301"/>
      <c r="L413" s="301"/>
      <c r="M413" s="301"/>
      <c r="N413" s="301"/>
    </row>
    <row r="414" spans="1:14" s="5" customFormat="1" ht="15">
      <c r="A414" s="335" t="s">
        <v>265</v>
      </c>
      <c r="B414" s="301" t="s">
        <v>348</v>
      </c>
      <c r="C414" s="301"/>
      <c r="D414" s="301"/>
      <c r="E414" s="301"/>
      <c r="F414" s="301"/>
      <c r="G414" s="301"/>
      <c r="H414" s="301"/>
      <c r="I414" s="301"/>
      <c r="J414" s="301"/>
      <c r="K414" s="301"/>
      <c r="L414" s="301"/>
      <c r="M414" s="301"/>
      <c r="N414" s="301"/>
    </row>
    <row r="415" spans="1:14" s="5" customFormat="1" ht="8.25" customHeight="1">
      <c r="A415" s="334"/>
      <c r="C415" s="301"/>
      <c r="D415" s="301"/>
      <c r="E415" s="301"/>
      <c r="F415" s="301"/>
      <c r="G415" s="301"/>
      <c r="H415" s="301"/>
      <c r="I415" s="301"/>
      <c r="J415" s="301"/>
      <c r="K415" s="301"/>
      <c r="L415" s="301"/>
      <c r="M415" s="301"/>
      <c r="N415" s="301"/>
    </row>
    <row r="416" spans="1:14" s="5" customFormat="1" ht="15.75">
      <c r="A416" s="334"/>
      <c r="B416" s="304" t="s">
        <v>349</v>
      </c>
      <c r="C416" s="301"/>
      <c r="D416" s="301"/>
      <c r="E416" s="301"/>
      <c r="F416" s="301"/>
      <c r="G416" s="301"/>
      <c r="H416" s="301"/>
      <c r="I416" s="301"/>
      <c r="J416" s="301"/>
      <c r="K416" s="301"/>
      <c r="L416" s="301"/>
      <c r="M416" s="301"/>
      <c r="N416" s="301"/>
    </row>
    <row r="417" spans="1:14" s="5" customFormat="1" ht="15">
      <c r="A417" s="335" t="s">
        <v>265</v>
      </c>
      <c r="B417" s="301" t="s">
        <v>350</v>
      </c>
      <c r="C417" s="301"/>
      <c r="D417" s="301"/>
      <c r="E417" s="301"/>
      <c r="F417" s="301"/>
      <c r="G417" s="301"/>
      <c r="H417" s="301"/>
      <c r="I417" s="301"/>
      <c r="J417" s="301"/>
      <c r="K417" s="301"/>
      <c r="L417" s="301"/>
      <c r="M417" s="301"/>
      <c r="N417" s="301"/>
    </row>
    <row r="418" spans="1:14" s="5" customFormat="1" ht="15">
      <c r="A418" s="335" t="s">
        <v>265</v>
      </c>
      <c r="B418" s="301" t="s">
        <v>351</v>
      </c>
      <c r="C418" s="301"/>
      <c r="D418" s="301"/>
      <c r="E418" s="301"/>
      <c r="F418" s="301"/>
      <c r="G418" s="301"/>
      <c r="H418" s="301"/>
      <c r="I418" s="301"/>
      <c r="J418" s="301"/>
      <c r="K418" s="301"/>
      <c r="L418" s="301"/>
      <c r="M418" s="301"/>
      <c r="N418" s="301"/>
    </row>
    <row r="419" spans="1:14" s="5" customFormat="1" ht="8.25" customHeight="1">
      <c r="A419" s="334"/>
      <c r="C419" s="301"/>
      <c r="D419" s="301"/>
      <c r="E419" s="301"/>
      <c r="F419" s="301"/>
      <c r="G419" s="301"/>
      <c r="H419" s="301"/>
      <c r="I419" s="301"/>
      <c r="J419" s="301"/>
      <c r="K419" s="301"/>
      <c r="L419" s="301"/>
      <c r="M419" s="301"/>
      <c r="N419" s="301"/>
    </row>
    <row r="420" spans="1:14" s="5" customFormat="1" ht="15.75">
      <c r="A420" s="334"/>
      <c r="B420" s="304" t="s">
        <v>355</v>
      </c>
      <c r="C420" s="301"/>
      <c r="D420" s="301"/>
      <c r="E420" s="301"/>
      <c r="F420" s="301"/>
      <c r="G420" s="301"/>
      <c r="H420" s="301"/>
      <c r="I420" s="301"/>
      <c r="J420" s="301"/>
      <c r="K420" s="301"/>
      <c r="L420" s="301"/>
      <c r="M420" s="301"/>
      <c r="N420" s="301"/>
    </row>
    <row r="421" spans="1:14" s="5" customFormat="1" ht="15">
      <c r="A421" s="335" t="s">
        <v>265</v>
      </c>
      <c r="B421" s="301" t="s">
        <v>352</v>
      </c>
      <c r="C421" s="301"/>
      <c r="D421" s="301"/>
      <c r="E421" s="301"/>
      <c r="F421" s="301"/>
      <c r="G421" s="301"/>
      <c r="H421" s="301"/>
      <c r="I421" s="301"/>
      <c r="J421" s="301"/>
      <c r="K421" s="301"/>
      <c r="L421" s="301"/>
      <c r="M421" s="301"/>
      <c r="N421" s="301"/>
    </row>
    <row r="422" spans="1:14" s="5" customFormat="1" ht="15">
      <c r="A422" s="335" t="s">
        <v>265</v>
      </c>
      <c r="B422" s="301" t="s">
        <v>353</v>
      </c>
      <c r="C422" s="301"/>
      <c r="D422" s="301"/>
      <c r="E422" s="301"/>
      <c r="F422" s="301"/>
      <c r="G422" s="301"/>
      <c r="H422" s="301"/>
      <c r="I422" s="301"/>
      <c r="J422" s="301"/>
      <c r="K422" s="301"/>
      <c r="L422" s="301"/>
      <c r="M422" s="301"/>
      <c r="N422" s="301"/>
    </row>
    <row r="423" spans="1:14" s="5" customFormat="1" ht="15">
      <c r="A423" s="335" t="s">
        <v>265</v>
      </c>
      <c r="B423" s="301" t="s">
        <v>354</v>
      </c>
      <c r="C423" s="301"/>
      <c r="D423" s="301"/>
      <c r="E423" s="301"/>
      <c r="F423" s="301"/>
      <c r="G423" s="301"/>
      <c r="H423" s="301"/>
      <c r="I423" s="301"/>
      <c r="J423" s="301"/>
      <c r="K423" s="301"/>
      <c r="L423" s="301"/>
      <c r="M423" s="301"/>
      <c r="N423" s="301"/>
    </row>
    <row r="424" spans="1:14" s="5" customFormat="1" ht="15">
      <c r="A424" s="335" t="s">
        <v>265</v>
      </c>
      <c r="B424" s="301" t="s">
        <v>356</v>
      </c>
      <c r="C424" s="301"/>
      <c r="D424" s="301"/>
      <c r="E424" s="301"/>
      <c r="F424" s="301"/>
      <c r="G424" s="301"/>
      <c r="H424" s="301"/>
      <c r="I424" s="301"/>
      <c r="J424" s="301"/>
      <c r="K424" s="301"/>
      <c r="L424" s="301"/>
      <c r="M424" s="301"/>
      <c r="N424" s="301"/>
    </row>
    <row r="425" spans="1:14" s="5" customFormat="1" ht="15">
      <c r="A425" s="335" t="s">
        <v>265</v>
      </c>
      <c r="B425" s="301" t="s">
        <v>357</v>
      </c>
      <c r="C425" s="301"/>
      <c r="D425" s="301"/>
      <c r="E425" s="301"/>
      <c r="F425" s="301"/>
      <c r="G425" s="301"/>
      <c r="H425" s="301"/>
      <c r="I425" s="301"/>
      <c r="J425" s="301"/>
      <c r="K425" s="301"/>
      <c r="L425" s="301"/>
      <c r="M425" s="301"/>
      <c r="N425" s="301"/>
    </row>
    <row r="426" spans="1:14" s="5" customFormat="1" ht="15">
      <c r="A426" s="335"/>
      <c r="B426" s="301"/>
      <c r="C426" s="301"/>
      <c r="D426" s="301"/>
      <c r="E426" s="301"/>
      <c r="F426" s="301"/>
      <c r="G426" s="301"/>
      <c r="H426" s="301"/>
      <c r="I426" s="301"/>
      <c r="J426" s="301"/>
      <c r="K426" s="301"/>
      <c r="L426" s="301"/>
      <c r="M426" s="301"/>
      <c r="N426" s="301"/>
    </row>
    <row r="427" spans="1:14" ht="18">
      <c r="A427" s="30" t="str">
        <f>+A$41</f>
        <v>MyCo</v>
      </c>
      <c r="B427" s="30"/>
      <c r="C427" s="30"/>
      <c r="D427" s="30"/>
      <c r="E427" s="30"/>
      <c r="F427" s="30"/>
      <c r="G427" s="30"/>
      <c r="H427" s="30"/>
      <c r="I427" s="30"/>
      <c r="J427" s="30"/>
      <c r="K427" s="30"/>
      <c r="L427" s="30"/>
      <c r="M427" s="30"/>
      <c r="N427" s="318" t="str">
        <f>Cover!$A$17</f>
        <v>Draft 1.0</v>
      </c>
    </row>
    <row r="428" spans="1:14" ht="23.25">
      <c r="A428" s="317" t="s">
        <v>261</v>
      </c>
      <c r="B428" s="30"/>
      <c r="C428" s="30"/>
      <c r="D428" s="30"/>
      <c r="E428" s="30"/>
      <c r="F428" s="30"/>
      <c r="G428" s="30"/>
      <c r="H428" s="30"/>
      <c r="I428" s="30"/>
      <c r="J428" s="30"/>
      <c r="K428" s="30"/>
      <c r="L428" s="30"/>
      <c r="M428" s="30"/>
      <c r="N428" s="30"/>
    </row>
    <row r="429" spans="1:14" ht="18">
      <c r="A429" s="312"/>
      <c r="B429" s="313"/>
      <c r="C429" s="313"/>
      <c r="D429" s="313"/>
      <c r="E429" s="313"/>
      <c r="F429" s="313"/>
      <c r="G429" s="313"/>
      <c r="H429" s="313"/>
      <c r="I429" s="313"/>
      <c r="J429" s="313"/>
      <c r="K429" s="313"/>
      <c r="L429" s="313"/>
      <c r="M429" s="313"/>
      <c r="N429" s="313"/>
    </row>
    <row r="430" spans="1:14" ht="18">
      <c r="A430" s="30" t="s">
        <v>186</v>
      </c>
      <c r="B430" s="30"/>
      <c r="C430" s="30"/>
      <c r="D430" s="30"/>
      <c r="E430" s="30"/>
      <c r="F430" s="30"/>
      <c r="G430" s="30"/>
      <c r="H430" s="30"/>
      <c r="I430" s="30"/>
      <c r="J430" s="30"/>
      <c r="K430" s="30"/>
      <c r="L430" s="30"/>
      <c r="M430" s="30"/>
      <c r="N430" s="30"/>
    </row>
    <row r="431" spans="1:14" ht="18">
      <c r="A431" s="30"/>
      <c r="B431" s="30"/>
      <c r="C431" s="30"/>
      <c r="D431" s="30"/>
      <c r="E431" s="30"/>
      <c r="F431" s="30"/>
      <c r="G431" s="30"/>
      <c r="H431" s="30"/>
      <c r="I431" s="30"/>
      <c r="J431" s="30"/>
      <c r="K431" s="30"/>
      <c r="L431" s="30"/>
      <c r="M431" s="30"/>
      <c r="N431" s="30"/>
    </row>
    <row r="432" spans="1:14" ht="18">
      <c r="A432" s="30"/>
      <c r="C432" s="30"/>
      <c r="D432" s="30"/>
      <c r="E432" s="30"/>
      <c r="F432" s="30"/>
      <c r="G432" s="30"/>
      <c r="H432" s="30"/>
      <c r="I432" s="30"/>
      <c r="J432" s="30"/>
      <c r="K432" s="30"/>
      <c r="L432" s="30"/>
      <c r="M432" s="30"/>
      <c r="N432" s="30"/>
    </row>
    <row r="433" spans="1:14" ht="18">
      <c r="A433" s="30"/>
      <c r="C433" s="166" t="s">
        <v>187</v>
      </c>
      <c r="D433" s="30"/>
      <c r="E433" s="30"/>
      <c r="F433" s="30"/>
      <c r="G433" s="30"/>
      <c r="I433" s="166" t="s">
        <v>188</v>
      </c>
      <c r="J433" s="30"/>
      <c r="K433" s="30"/>
      <c r="L433" s="30"/>
      <c r="M433" s="30"/>
      <c r="N433" s="30"/>
    </row>
    <row r="434" spans="1:14" ht="19.5">
      <c r="A434" s="30"/>
      <c r="B434" s="333" t="s">
        <v>265</v>
      </c>
      <c r="C434" s="18" t="s">
        <v>189</v>
      </c>
      <c r="D434" s="30"/>
      <c r="E434" s="30"/>
      <c r="F434" s="30"/>
      <c r="G434" s="30"/>
      <c r="H434" s="333" t="s">
        <v>265</v>
      </c>
      <c r="I434" s="30" t="s">
        <v>190</v>
      </c>
      <c r="J434" s="30"/>
      <c r="K434" s="30"/>
      <c r="L434" s="30"/>
      <c r="M434" s="30"/>
      <c r="N434" s="30"/>
    </row>
    <row r="435" spans="1:14" ht="19.5">
      <c r="A435" s="30"/>
      <c r="B435" s="333" t="s">
        <v>265</v>
      </c>
      <c r="C435" s="18" t="s">
        <v>191</v>
      </c>
      <c r="D435" s="30"/>
      <c r="E435" s="30"/>
      <c r="F435" s="30"/>
      <c r="G435" s="30"/>
      <c r="H435" s="333" t="s">
        <v>265</v>
      </c>
      <c r="I435" s="30" t="s">
        <v>192</v>
      </c>
      <c r="J435" s="30"/>
      <c r="K435" s="30"/>
      <c r="L435" s="30"/>
      <c r="M435" s="30"/>
      <c r="N435" s="30"/>
    </row>
    <row r="436" spans="1:14" ht="19.5">
      <c r="A436" s="30"/>
      <c r="B436" s="333" t="s">
        <v>265</v>
      </c>
      <c r="C436" s="18" t="s">
        <v>193</v>
      </c>
      <c r="D436" s="30"/>
      <c r="E436" s="30"/>
      <c r="F436" s="30"/>
      <c r="G436" s="30"/>
      <c r="H436" s="333" t="s">
        <v>265</v>
      </c>
      <c r="I436" s="30" t="s">
        <v>194</v>
      </c>
      <c r="J436" s="30"/>
      <c r="K436" s="30"/>
      <c r="L436" s="30"/>
      <c r="M436" s="30"/>
      <c r="N436" s="30"/>
    </row>
    <row r="437" spans="1:14" ht="19.5">
      <c r="A437" s="30"/>
      <c r="B437" s="333" t="s">
        <v>265</v>
      </c>
      <c r="C437" s="18" t="s">
        <v>195</v>
      </c>
      <c r="D437" s="30"/>
      <c r="E437" s="30"/>
      <c r="F437" s="30"/>
      <c r="G437" s="30"/>
      <c r="H437" s="333" t="s">
        <v>265</v>
      </c>
      <c r="I437" s="30" t="s">
        <v>196</v>
      </c>
      <c r="J437" s="30"/>
      <c r="K437" s="30"/>
      <c r="L437" s="30"/>
      <c r="M437" s="30"/>
      <c r="N437" s="30"/>
    </row>
    <row r="438" spans="1:14" ht="19.5">
      <c r="A438" s="30"/>
      <c r="B438" s="333" t="s">
        <v>265</v>
      </c>
      <c r="C438" s="30" t="s">
        <v>197</v>
      </c>
      <c r="D438" s="30"/>
      <c r="E438" s="30"/>
      <c r="F438" s="30"/>
      <c r="G438" s="30"/>
      <c r="H438" s="333" t="s">
        <v>265</v>
      </c>
      <c r="I438" s="30" t="s">
        <v>198</v>
      </c>
      <c r="J438" s="30"/>
      <c r="K438" s="30"/>
      <c r="L438" s="30"/>
      <c r="M438" s="30"/>
      <c r="N438" s="30"/>
    </row>
    <row r="439" spans="1:14" ht="19.5">
      <c r="A439" s="30"/>
      <c r="B439" s="333" t="s">
        <v>265</v>
      </c>
      <c r="C439" s="30" t="s">
        <v>199</v>
      </c>
      <c r="D439" s="30"/>
      <c r="E439" s="30"/>
      <c r="F439" s="30"/>
      <c r="G439" s="30"/>
      <c r="H439" s="333" t="s">
        <v>265</v>
      </c>
      <c r="I439" s="30" t="s">
        <v>200</v>
      </c>
      <c r="J439" s="30"/>
      <c r="K439" s="30"/>
      <c r="L439" s="30"/>
      <c r="M439" s="30"/>
      <c r="N439" s="30"/>
    </row>
    <row r="440" spans="1:14" ht="19.5">
      <c r="A440" s="30"/>
      <c r="B440" s="333" t="s">
        <v>265</v>
      </c>
      <c r="C440" s="30" t="s">
        <v>201</v>
      </c>
      <c r="D440" s="30"/>
      <c r="E440" s="30"/>
      <c r="F440" s="30"/>
      <c r="G440" s="30"/>
      <c r="H440" s="333" t="s">
        <v>265</v>
      </c>
      <c r="I440" s="30" t="s">
        <v>202</v>
      </c>
      <c r="J440" s="30"/>
      <c r="K440" s="30"/>
      <c r="L440" s="30"/>
      <c r="M440" s="30"/>
      <c r="N440" s="30"/>
    </row>
    <row r="441" spans="1:14" ht="19.5">
      <c r="A441" s="30"/>
      <c r="B441" s="333" t="s">
        <v>265</v>
      </c>
      <c r="C441" s="30" t="s">
        <v>203</v>
      </c>
      <c r="D441" s="30"/>
      <c r="E441" s="30"/>
      <c r="F441" s="30"/>
      <c r="G441" s="30"/>
      <c r="H441" s="333" t="s">
        <v>265</v>
      </c>
      <c r="I441" s="30" t="s">
        <v>204</v>
      </c>
      <c r="J441" s="30"/>
      <c r="K441" s="30"/>
      <c r="L441" s="30"/>
      <c r="M441" s="30"/>
      <c r="N441" s="30"/>
    </row>
    <row r="442" spans="1:14" ht="19.5">
      <c r="A442" s="30"/>
      <c r="B442" s="333" t="s">
        <v>265</v>
      </c>
      <c r="C442" s="30" t="s">
        <v>205</v>
      </c>
      <c r="D442" s="30"/>
      <c r="E442" s="30"/>
      <c r="F442" s="30"/>
      <c r="G442" s="30"/>
      <c r="H442" s="333" t="s">
        <v>265</v>
      </c>
      <c r="I442" s="30" t="s">
        <v>206</v>
      </c>
      <c r="J442" s="30"/>
      <c r="K442" s="30"/>
      <c r="L442" s="30"/>
      <c r="M442" s="30"/>
      <c r="N442" s="30"/>
    </row>
    <row r="443" spans="1:14" ht="17.25" customHeight="1">
      <c r="A443" s="30"/>
      <c r="B443" s="333" t="s">
        <v>265</v>
      </c>
      <c r="C443" s="30" t="s">
        <v>207</v>
      </c>
      <c r="D443" s="30"/>
      <c r="E443" s="30"/>
      <c r="F443" s="30"/>
      <c r="G443" s="30"/>
      <c r="H443" s="333" t="s">
        <v>265</v>
      </c>
      <c r="I443" s="30" t="s">
        <v>208</v>
      </c>
      <c r="J443" s="30"/>
      <c r="K443" s="30"/>
      <c r="L443" s="30"/>
      <c r="M443" s="30"/>
      <c r="N443" s="30"/>
    </row>
    <row r="444" spans="1:14" ht="19.5">
      <c r="A444" s="30"/>
      <c r="D444" s="30"/>
      <c r="E444" s="30"/>
      <c r="F444" s="30"/>
      <c r="G444" s="30"/>
      <c r="H444" s="333" t="s">
        <v>265</v>
      </c>
      <c r="I444" s="30" t="s">
        <v>209</v>
      </c>
      <c r="J444" s="30"/>
      <c r="K444" s="30"/>
      <c r="L444" s="30"/>
      <c r="M444" s="30"/>
      <c r="N444" s="30"/>
    </row>
    <row r="445" spans="1:14" ht="19.5">
      <c r="A445" s="30"/>
      <c r="C445" s="166" t="s">
        <v>210</v>
      </c>
      <c r="D445" s="30"/>
      <c r="E445" s="30"/>
      <c r="F445" s="30"/>
      <c r="G445" s="30"/>
      <c r="H445" s="333" t="s">
        <v>265</v>
      </c>
      <c r="I445" s="30" t="s">
        <v>211</v>
      </c>
      <c r="J445" s="30"/>
      <c r="K445" s="30"/>
      <c r="L445" s="30"/>
      <c r="M445" s="30"/>
      <c r="N445" s="30"/>
    </row>
    <row r="446" spans="1:14" ht="19.5">
      <c r="A446" s="30"/>
      <c r="B446" s="333" t="s">
        <v>265</v>
      </c>
      <c r="C446" s="30" t="s">
        <v>212</v>
      </c>
      <c r="D446" s="30"/>
      <c r="E446" s="30"/>
      <c r="F446" s="30"/>
      <c r="G446" s="30"/>
      <c r="H446" s="333" t="s">
        <v>265</v>
      </c>
      <c r="I446" s="30" t="s">
        <v>213</v>
      </c>
      <c r="J446" s="30"/>
      <c r="K446" s="30"/>
      <c r="L446" s="30"/>
      <c r="M446" s="30"/>
      <c r="N446" s="30"/>
    </row>
    <row r="447" spans="1:14" ht="19.5">
      <c r="A447" s="30"/>
      <c r="B447" s="333" t="s">
        <v>265</v>
      </c>
      <c r="C447" s="30" t="s">
        <v>214</v>
      </c>
      <c r="D447" s="30"/>
      <c r="E447" s="30"/>
      <c r="F447" s="30"/>
      <c r="G447" s="30"/>
      <c r="H447" s="333" t="s">
        <v>265</v>
      </c>
      <c r="I447" s="30" t="s">
        <v>215</v>
      </c>
      <c r="J447" s="30"/>
      <c r="K447" s="30"/>
      <c r="L447" s="30"/>
      <c r="M447" s="30"/>
      <c r="N447" s="30"/>
    </row>
    <row r="448" spans="1:14" ht="19.5">
      <c r="A448" s="30"/>
      <c r="B448" s="333" t="s">
        <v>265</v>
      </c>
      <c r="C448" s="30" t="s">
        <v>216</v>
      </c>
      <c r="D448" s="30"/>
      <c r="E448" s="30"/>
      <c r="F448" s="30"/>
      <c r="G448" s="30"/>
      <c r="H448" s="333" t="s">
        <v>265</v>
      </c>
      <c r="I448" s="30" t="s">
        <v>217</v>
      </c>
      <c r="J448" s="30"/>
      <c r="K448" s="30"/>
      <c r="L448" s="30"/>
      <c r="M448" s="30"/>
      <c r="N448" s="30"/>
    </row>
    <row r="449" spans="1:14" ht="19.5">
      <c r="A449" s="30"/>
      <c r="B449" s="333" t="s">
        <v>265</v>
      </c>
      <c r="C449" s="30" t="s">
        <v>218</v>
      </c>
      <c r="D449" s="30"/>
      <c r="E449" s="30"/>
      <c r="F449" s="30"/>
      <c r="G449" s="30"/>
      <c r="H449" s="333" t="s">
        <v>265</v>
      </c>
      <c r="I449" s="30" t="s">
        <v>219</v>
      </c>
      <c r="J449" s="30"/>
      <c r="K449" s="30"/>
      <c r="L449" s="30"/>
      <c r="M449" s="30"/>
      <c r="N449" s="30"/>
    </row>
    <row r="450" spans="1:14" ht="19.5">
      <c r="A450" s="30"/>
      <c r="B450" s="333" t="s">
        <v>265</v>
      </c>
      <c r="C450" s="30" t="s">
        <v>220</v>
      </c>
      <c r="D450" s="30"/>
      <c r="E450" s="30"/>
      <c r="F450" s="30"/>
      <c r="G450" s="30"/>
      <c r="H450" s="333" t="s">
        <v>265</v>
      </c>
      <c r="I450" s="30" t="s">
        <v>221</v>
      </c>
      <c r="J450" s="30"/>
      <c r="K450" s="30"/>
      <c r="L450" s="30"/>
      <c r="M450" s="30"/>
      <c r="N450" s="30"/>
    </row>
    <row r="451" spans="1:14" ht="17.25" customHeight="1">
      <c r="A451" s="30"/>
      <c r="B451" s="333" t="s">
        <v>265</v>
      </c>
      <c r="C451" s="30" t="s">
        <v>222</v>
      </c>
      <c r="D451" s="30"/>
      <c r="E451" s="30"/>
      <c r="F451" s="30"/>
      <c r="G451" s="30"/>
      <c r="H451" s="333" t="s">
        <v>265</v>
      </c>
      <c r="I451" s="30" t="s">
        <v>223</v>
      </c>
      <c r="J451" s="30"/>
      <c r="K451" s="30"/>
      <c r="L451" s="30"/>
      <c r="M451" s="30"/>
      <c r="N451" s="30"/>
    </row>
    <row r="452" spans="1:14" ht="19.5">
      <c r="A452" s="30"/>
      <c r="B452" s="333" t="s">
        <v>265</v>
      </c>
      <c r="C452" s="30" t="s">
        <v>224</v>
      </c>
      <c r="D452" s="30"/>
      <c r="E452" s="30"/>
      <c r="F452" s="30"/>
      <c r="G452" s="30"/>
      <c r="H452" s="333" t="s">
        <v>265</v>
      </c>
      <c r="I452" s="30" t="s">
        <v>225</v>
      </c>
      <c r="J452" s="30"/>
      <c r="K452" s="30"/>
      <c r="L452" s="30"/>
      <c r="M452" s="30"/>
      <c r="N452" s="30"/>
    </row>
    <row r="453" spans="1:14" ht="19.5">
      <c r="A453" s="30"/>
      <c r="B453" s="333" t="s">
        <v>265</v>
      </c>
      <c r="C453" s="30" t="s">
        <v>226</v>
      </c>
      <c r="D453" s="30"/>
      <c r="E453" s="30"/>
      <c r="F453" s="30"/>
      <c r="G453" s="30"/>
      <c r="H453" s="333" t="s">
        <v>265</v>
      </c>
      <c r="I453" s="30" t="s">
        <v>227</v>
      </c>
      <c r="J453" s="30"/>
      <c r="K453" s="30"/>
      <c r="L453" s="30"/>
      <c r="M453" s="30"/>
      <c r="N453" s="30"/>
    </row>
    <row r="454" spans="1:14" ht="19.5">
      <c r="A454" s="30"/>
      <c r="B454" s="333" t="s">
        <v>265</v>
      </c>
      <c r="C454" s="30" t="s">
        <v>228</v>
      </c>
      <c r="D454" s="30"/>
      <c r="E454" s="30"/>
      <c r="F454" s="30"/>
      <c r="G454" s="30"/>
      <c r="I454" s="30"/>
      <c r="J454" s="30"/>
      <c r="K454" s="30"/>
      <c r="L454" s="30"/>
      <c r="M454" s="30"/>
      <c r="N454" s="30"/>
    </row>
    <row r="455" spans="1:14" ht="19.5">
      <c r="A455" s="30"/>
      <c r="B455" s="333" t="s">
        <v>265</v>
      </c>
      <c r="C455" s="30" t="s">
        <v>229</v>
      </c>
      <c r="D455" s="30"/>
      <c r="E455" s="30"/>
      <c r="F455" s="30"/>
      <c r="G455" s="30"/>
      <c r="I455" s="166" t="s">
        <v>230</v>
      </c>
      <c r="J455" s="30"/>
      <c r="K455" s="30"/>
      <c r="L455" s="30"/>
      <c r="M455" s="30"/>
      <c r="N455" s="30"/>
    </row>
    <row r="456" spans="1:14" ht="19.5">
      <c r="A456" s="30"/>
      <c r="B456" s="333" t="s">
        <v>265</v>
      </c>
      <c r="C456" s="30" t="s">
        <v>231</v>
      </c>
      <c r="D456" s="30"/>
      <c r="E456" s="30"/>
      <c r="F456" s="30"/>
      <c r="G456" s="30"/>
      <c r="H456" s="333" t="s">
        <v>265</v>
      </c>
      <c r="I456" s="30" t="s">
        <v>232</v>
      </c>
      <c r="J456" s="30"/>
      <c r="K456" s="30"/>
      <c r="L456" s="30"/>
      <c r="M456" s="30"/>
      <c r="N456" s="30"/>
    </row>
    <row r="457" spans="1:14" ht="19.5">
      <c r="A457" s="30"/>
      <c r="B457" s="333" t="s">
        <v>265</v>
      </c>
      <c r="C457" s="30" t="s">
        <v>233</v>
      </c>
      <c r="D457" s="30"/>
      <c r="E457" s="30"/>
      <c r="F457" s="30"/>
      <c r="G457" s="30"/>
      <c r="H457" s="333" t="s">
        <v>265</v>
      </c>
      <c r="I457" s="30" t="s">
        <v>234</v>
      </c>
      <c r="J457" s="30"/>
      <c r="K457" s="30"/>
      <c r="L457" s="30"/>
      <c r="M457" s="30"/>
      <c r="N457" s="30"/>
    </row>
    <row r="458" spans="1:14" ht="19.5">
      <c r="A458" s="30"/>
      <c r="B458" s="333" t="s">
        <v>265</v>
      </c>
      <c r="C458" s="30" t="s">
        <v>235</v>
      </c>
      <c r="D458" s="30"/>
      <c r="E458" s="30"/>
      <c r="F458" s="30"/>
      <c r="G458" s="30"/>
      <c r="H458" s="333" t="s">
        <v>265</v>
      </c>
      <c r="I458" s="30" t="s">
        <v>236</v>
      </c>
      <c r="J458" s="30"/>
      <c r="K458" s="30"/>
      <c r="L458" s="30"/>
      <c r="M458" s="30"/>
      <c r="N458" s="30"/>
    </row>
    <row r="459" spans="1:14" ht="19.5">
      <c r="A459" s="30"/>
      <c r="B459" s="333" t="s">
        <v>265</v>
      </c>
      <c r="C459" s="30" t="s">
        <v>219</v>
      </c>
      <c r="D459" s="30"/>
      <c r="E459" s="30"/>
      <c r="F459" s="30"/>
      <c r="G459" s="30"/>
      <c r="H459" s="333" t="s">
        <v>265</v>
      </c>
      <c r="I459" s="30" t="s">
        <v>237</v>
      </c>
      <c r="J459" s="30"/>
      <c r="K459" s="30"/>
      <c r="L459" s="30"/>
      <c r="M459" s="30"/>
      <c r="N459" s="30"/>
    </row>
    <row r="460" spans="1:14" ht="19.5">
      <c r="A460" s="30"/>
      <c r="B460" s="333" t="s">
        <v>265</v>
      </c>
      <c r="C460" s="30" t="s">
        <v>238</v>
      </c>
      <c r="D460" s="30"/>
      <c r="E460" s="30"/>
      <c r="F460" s="30"/>
      <c r="G460" s="30"/>
      <c r="H460" s="333" t="s">
        <v>265</v>
      </c>
      <c r="I460" s="30" t="s">
        <v>239</v>
      </c>
      <c r="J460" s="30"/>
      <c r="K460" s="30"/>
      <c r="L460" s="30"/>
      <c r="M460" s="30"/>
      <c r="N460" s="30"/>
    </row>
    <row r="461" spans="1:14" ht="19.5">
      <c r="A461" s="30"/>
      <c r="B461" s="333" t="s">
        <v>265</v>
      </c>
      <c r="C461" s="30" t="s">
        <v>240</v>
      </c>
      <c r="D461" s="30"/>
      <c r="E461" s="30"/>
      <c r="F461" s="30"/>
      <c r="G461" s="30"/>
      <c r="H461" s="333" t="s">
        <v>265</v>
      </c>
      <c r="I461" s="30" t="s">
        <v>241</v>
      </c>
      <c r="J461" s="30"/>
      <c r="K461" s="30"/>
      <c r="L461" s="30"/>
      <c r="M461" s="30"/>
      <c r="N461" s="30"/>
    </row>
    <row r="462" spans="1:14" ht="19.5">
      <c r="A462" s="30"/>
      <c r="B462" s="333" t="s">
        <v>265</v>
      </c>
      <c r="C462" s="30" t="s">
        <v>242</v>
      </c>
      <c r="D462" s="30"/>
      <c r="E462" s="30"/>
      <c r="F462" s="30"/>
      <c r="G462" s="30"/>
      <c r="I462" s="30"/>
      <c r="J462" s="30"/>
      <c r="K462" s="30"/>
      <c r="L462" s="30"/>
      <c r="M462" s="30"/>
      <c r="N462" s="30"/>
    </row>
    <row r="463" spans="1:14" ht="19.5">
      <c r="A463" s="30"/>
      <c r="B463" s="333" t="s">
        <v>265</v>
      </c>
      <c r="C463" s="30" t="s">
        <v>243</v>
      </c>
      <c r="D463" s="30"/>
      <c r="E463" s="30"/>
      <c r="F463" s="30"/>
      <c r="G463" s="30"/>
      <c r="I463" s="166" t="s">
        <v>244</v>
      </c>
      <c r="J463" s="30"/>
      <c r="K463" s="30"/>
      <c r="L463" s="30"/>
      <c r="M463" s="30"/>
      <c r="N463" s="30"/>
    </row>
    <row r="464" spans="1:14" ht="19.5">
      <c r="A464" s="30"/>
      <c r="C464" s="30"/>
      <c r="D464" s="30"/>
      <c r="E464" s="30"/>
      <c r="F464" s="30"/>
      <c r="G464" s="30"/>
      <c r="H464" s="333" t="s">
        <v>265</v>
      </c>
      <c r="I464" s="30" t="s">
        <v>245</v>
      </c>
      <c r="J464" s="30"/>
      <c r="K464" s="30"/>
      <c r="L464" s="30"/>
      <c r="M464" s="30"/>
      <c r="N464" s="30"/>
    </row>
    <row r="465" spans="1:14" ht="18">
      <c r="A465" s="30"/>
      <c r="C465" s="30"/>
      <c r="D465" s="30"/>
      <c r="E465" s="30"/>
      <c r="F465" s="30"/>
      <c r="G465" s="30"/>
      <c r="H465" s="30"/>
      <c r="I465" s="30"/>
      <c r="J465" s="30"/>
      <c r="K465" s="30"/>
      <c r="L465" s="30"/>
      <c r="M465" s="30"/>
      <c r="N465" s="30"/>
    </row>
    <row r="466" spans="1:14" ht="18">
      <c r="A466" s="30"/>
      <c r="B466" s="30"/>
      <c r="C466" s="30"/>
      <c r="D466" s="30"/>
      <c r="E466" s="30"/>
      <c r="F466" s="30"/>
      <c r="G466" s="30"/>
      <c r="H466" s="30"/>
      <c r="I466" s="30"/>
      <c r="J466" s="30"/>
      <c r="K466" s="30"/>
      <c r="L466" s="30"/>
      <c r="M466" s="30"/>
      <c r="N466" s="30"/>
    </row>
    <row r="467" s="5" customFormat="1" ht="15"/>
    <row r="468" s="5" customFormat="1" ht="15"/>
    <row r="469" s="5" customFormat="1" ht="15"/>
    <row r="470" s="5" customFormat="1" ht="15"/>
    <row r="471" s="5" customFormat="1" ht="15"/>
    <row r="472" s="5" customFormat="1" ht="15"/>
    <row r="473" s="5" customFormat="1" ht="15"/>
    <row r="474" s="5" customFormat="1" ht="15"/>
    <row r="475" s="5" customFormat="1" ht="15"/>
    <row r="476" s="5" customFormat="1" ht="15"/>
    <row r="477" s="5" customFormat="1" ht="15"/>
    <row r="478" s="5" customFormat="1" ht="15"/>
    <row r="479" s="5" customFormat="1" ht="15"/>
    <row r="480" s="5" customFormat="1" ht="15"/>
    <row r="481" s="5" customFormat="1" ht="15"/>
    <row r="482" s="5" customFormat="1" ht="15"/>
    <row r="483" s="5" customFormat="1" ht="15"/>
    <row r="484" s="5" customFormat="1" ht="15"/>
    <row r="485" s="5" customFormat="1" ht="15"/>
    <row r="486" s="5" customFormat="1" ht="15"/>
    <row r="487" s="5" customFormat="1" ht="15"/>
    <row r="488" s="5" customFormat="1" ht="15"/>
    <row r="489" s="5" customFormat="1" ht="15"/>
    <row r="490" s="5" customFormat="1" ht="15"/>
    <row r="491" s="5" customFormat="1" ht="15"/>
    <row r="492" s="5" customFormat="1" ht="15"/>
    <row r="493" s="5" customFormat="1" ht="15"/>
    <row r="494" s="5" customFormat="1" ht="15"/>
    <row r="495" s="5" customFormat="1" ht="15"/>
    <row r="496" s="5" customFormat="1" ht="15"/>
    <row r="497" s="5" customFormat="1" ht="15"/>
    <row r="498" s="5" customFormat="1" ht="15"/>
    <row r="499" s="5" customFormat="1" ht="15"/>
    <row r="500" s="5" customFormat="1" ht="15"/>
    <row r="501" s="5" customFormat="1" ht="15"/>
    <row r="502" s="5" customFormat="1" ht="15"/>
    <row r="503" s="5" customFormat="1" ht="15"/>
    <row r="504" s="5" customFormat="1" ht="15"/>
    <row r="505" s="5" customFormat="1" ht="15"/>
    <row r="506" s="5" customFormat="1" ht="15"/>
    <row r="507" s="5" customFormat="1" ht="15"/>
    <row r="508" s="5" customFormat="1" ht="15"/>
    <row r="509" s="5" customFormat="1" ht="15"/>
    <row r="510" s="5" customFormat="1" ht="15"/>
    <row r="511" s="5" customFormat="1" ht="15"/>
    <row r="512" s="5" customFormat="1" ht="15"/>
    <row r="513" s="5" customFormat="1" ht="15"/>
    <row r="514" s="5" customFormat="1" ht="15"/>
    <row r="515" s="5" customFormat="1" ht="15"/>
    <row r="516" s="5" customFormat="1" ht="15"/>
    <row r="517" s="5" customFormat="1" ht="15"/>
    <row r="518" s="5" customFormat="1" ht="15"/>
    <row r="519" s="5" customFormat="1" ht="15"/>
    <row r="520" s="5" customFormat="1" ht="15"/>
    <row r="521" s="5" customFormat="1" ht="15"/>
    <row r="522" s="5" customFormat="1" ht="15"/>
    <row r="523" s="5" customFormat="1" ht="15"/>
    <row r="524" s="5" customFormat="1" ht="15"/>
    <row r="525" s="5" customFormat="1" ht="15"/>
    <row r="526" s="5" customFormat="1" ht="15"/>
    <row r="527" s="5" customFormat="1" ht="15"/>
    <row r="528" s="5" customFormat="1" ht="15"/>
    <row r="529" s="5" customFormat="1" ht="15"/>
    <row r="530" s="5" customFormat="1" ht="15"/>
    <row r="531" s="5" customFormat="1" ht="15"/>
    <row r="532" s="5" customFormat="1" ht="15"/>
    <row r="533" s="5" customFormat="1" ht="15"/>
    <row r="534" s="5" customFormat="1" ht="15"/>
    <row r="535" s="5" customFormat="1" ht="15"/>
    <row r="536" s="5" customFormat="1" ht="15"/>
    <row r="537" s="5" customFormat="1" ht="15"/>
    <row r="538" s="5" customFormat="1" ht="15"/>
    <row r="539" s="5" customFormat="1" ht="15"/>
    <row r="540" s="5" customFormat="1" ht="15"/>
    <row r="541" s="5" customFormat="1" ht="15"/>
    <row r="542" s="5" customFormat="1" ht="15"/>
    <row r="543" s="5" customFormat="1" ht="15"/>
    <row r="544" s="5" customFormat="1" ht="15"/>
    <row r="545" s="5" customFormat="1" ht="15"/>
    <row r="546" s="5" customFormat="1" ht="15"/>
    <row r="547" s="5" customFormat="1" ht="15"/>
    <row r="548" s="5" customFormat="1" ht="15"/>
    <row r="549" s="5" customFormat="1" ht="15"/>
    <row r="550" s="5" customFormat="1" ht="15"/>
    <row r="551" s="5" customFormat="1" ht="15"/>
    <row r="552" s="5" customFormat="1" ht="15"/>
    <row r="553" s="5" customFormat="1" ht="15"/>
    <row r="554" s="5" customFormat="1" ht="15"/>
    <row r="555" s="5" customFormat="1" ht="15"/>
    <row r="556" s="5" customFormat="1" ht="15"/>
    <row r="557" s="5" customFormat="1" ht="15"/>
    <row r="558" s="5" customFormat="1" ht="15"/>
    <row r="559" s="5" customFormat="1" ht="15"/>
    <row r="560" s="5" customFormat="1" ht="15"/>
    <row r="561" s="5" customFormat="1" ht="15"/>
    <row r="562" s="5" customFormat="1" ht="15"/>
    <row r="563" s="5" customFormat="1" ht="15"/>
    <row r="564" s="5" customFormat="1" ht="15"/>
    <row r="565" s="5" customFormat="1" ht="15"/>
    <row r="566" s="5" customFormat="1" ht="15"/>
    <row r="567" s="5" customFormat="1" ht="15"/>
    <row r="568" s="5" customFormat="1" ht="15"/>
    <row r="569" s="5" customFormat="1" ht="15"/>
    <row r="570" s="5" customFormat="1" ht="15"/>
    <row r="571" s="5" customFormat="1" ht="15"/>
    <row r="572" s="5" customFormat="1" ht="15"/>
    <row r="573" s="5" customFormat="1" ht="15"/>
    <row r="574" s="5" customFormat="1" ht="15"/>
    <row r="575" s="5" customFormat="1" ht="15"/>
    <row r="576" s="5" customFormat="1" ht="15"/>
    <row r="577" s="5" customFormat="1" ht="15"/>
    <row r="578" s="5" customFormat="1" ht="15"/>
    <row r="579" s="5" customFormat="1" ht="15"/>
    <row r="580" s="5" customFormat="1" ht="15"/>
    <row r="581" s="5" customFormat="1" ht="15"/>
    <row r="582" s="5" customFormat="1" ht="15"/>
    <row r="583" s="5" customFormat="1" ht="15"/>
    <row r="584" s="5" customFormat="1" ht="15"/>
    <row r="585" s="5" customFormat="1" ht="15"/>
    <row r="586" s="5" customFormat="1" ht="15"/>
    <row r="587" s="5" customFormat="1" ht="15"/>
    <row r="588" s="5" customFormat="1" ht="15"/>
    <row r="589" s="5" customFormat="1" ht="15"/>
    <row r="590" s="5" customFormat="1" ht="15"/>
    <row r="591" s="5" customFormat="1" ht="15"/>
    <row r="592" s="5" customFormat="1" ht="15"/>
    <row r="593" s="5" customFormat="1" ht="15"/>
    <row r="594" s="5" customFormat="1" ht="15"/>
    <row r="595" s="5" customFormat="1" ht="15"/>
    <row r="596" s="5" customFormat="1" ht="15"/>
    <row r="597" s="5" customFormat="1" ht="15"/>
    <row r="598" s="5" customFormat="1" ht="15"/>
    <row r="599" s="5" customFormat="1" ht="15"/>
    <row r="600" s="5" customFormat="1" ht="15"/>
    <row r="601" s="5" customFormat="1" ht="15"/>
    <row r="602" s="5" customFormat="1" ht="15"/>
    <row r="603" s="5" customFormat="1" ht="15"/>
    <row r="604" s="5" customFormat="1" ht="15"/>
    <row r="605" s="5" customFormat="1" ht="15"/>
    <row r="606" s="5" customFormat="1" ht="15"/>
    <row r="607" s="5" customFormat="1" ht="15"/>
    <row r="608" s="5" customFormat="1" ht="15"/>
    <row r="609" s="5" customFormat="1" ht="15"/>
    <row r="610" s="5" customFormat="1" ht="15"/>
    <row r="611" s="5" customFormat="1" ht="15"/>
    <row r="612" s="5" customFormat="1" ht="15"/>
    <row r="613" s="5" customFormat="1" ht="15"/>
    <row r="614" s="5" customFormat="1" ht="15"/>
    <row r="615" s="5" customFormat="1" ht="15"/>
    <row r="616" s="5" customFormat="1" ht="15"/>
    <row r="617" s="5" customFormat="1" ht="15"/>
    <row r="618" s="5" customFormat="1" ht="15"/>
    <row r="619" s="5" customFormat="1" ht="15"/>
    <row r="620" s="5" customFormat="1" ht="15"/>
    <row r="621" s="5" customFormat="1" ht="15"/>
    <row r="622" s="5" customFormat="1" ht="15"/>
    <row r="623" s="5" customFormat="1" ht="15"/>
    <row r="624" s="5" customFormat="1" ht="15"/>
    <row r="625" s="5" customFormat="1" ht="15"/>
    <row r="626" s="5" customFormat="1" ht="15"/>
    <row r="627" s="5" customFormat="1" ht="15"/>
    <row r="628" s="5" customFormat="1" ht="15"/>
    <row r="629" s="5" customFormat="1" ht="15"/>
    <row r="630" s="5" customFormat="1" ht="15"/>
    <row r="631" s="5" customFormat="1" ht="15"/>
    <row r="632" s="5" customFormat="1" ht="15"/>
    <row r="633" s="5" customFormat="1" ht="15"/>
    <row r="634" s="5" customFormat="1" ht="15"/>
    <row r="635" s="5" customFormat="1" ht="15"/>
    <row r="636" s="5" customFormat="1" ht="15"/>
    <row r="637" s="5" customFormat="1" ht="15"/>
    <row r="638" s="5" customFormat="1" ht="15"/>
    <row r="639" s="5" customFormat="1" ht="15"/>
    <row r="640" s="5" customFormat="1" ht="15"/>
    <row r="641" s="5" customFormat="1" ht="15"/>
    <row r="642" s="5" customFormat="1" ht="15"/>
    <row r="643" s="5" customFormat="1" ht="15"/>
    <row r="644" s="5" customFormat="1" ht="15"/>
    <row r="645" s="5" customFormat="1" ht="15"/>
    <row r="646" s="5" customFormat="1" ht="15"/>
    <row r="647" s="5" customFormat="1" ht="15"/>
    <row r="648" s="5" customFormat="1" ht="15"/>
    <row r="649" s="5" customFormat="1" ht="15"/>
    <row r="650" s="5" customFormat="1" ht="15"/>
    <row r="651" s="5" customFormat="1" ht="15"/>
    <row r="652" s="5" customFormat="1" ht="15"/>
    <row r="653" s="5" customFormat="1" ht="15"/>
    <row r="654" s="5" customFormat="1" ht="15"/>
    <row r="655" s="5" customFormat="1" ht="15"/>
    <row r="656" s="5" customFormat="1" ht="15"/>
    <row r="657" s="5" customFormat="1" ht="15"/>
    <row r="658" s="5" customFormat="1" ht="15"/>
    <row r="659" s="5" customFormat="1" ht="15"/>
    <row r="660" s="5" customFormat="1" ht="15"/>
    <row r="661" s="5" customFormat="1" ht="15"/>
    <row r="662" s="5" customFormat="1" ht="15"/>
    <row r="663" s="5" customFormat="1" ht="15"/>
    <row r="664" s="5" customFormat="1" ht="15"/>
    <row r="665" s="5" customFormat="1" ht="15"/>
    <row r="666" s="5" customFormat="1" ht="15"/>
    <row r="667" s="5" customFormat="1" ht="15"/>
    <row r="668" s="5" customFormat="1" ht="15"/>
    <row r="669" s="5" customFormat="1" ht="15"/>
    <row r="670" s="5" customFormat="1" ht="15"/>
    <row r="671" s="5" customFormat="1" ht="15"/>
    <row r="672" s="5" customFormat="1" ht="15"/>
    <row r="673" s="5" customFormat="1" ht="15"/>
    <row r="674" s="5" customFormat="1" ht="15"/>
    <row r="675" s="5" customFormat="1" ht="15"/>
    <row r="676" s="5" customFormat="1" ht="15"/>
    <row r="677" s="5" customFormat="1" ht="15"/>
    <row r="678" s="5" customFormat="1" ht="15"/>
    <row r="679" s="5" customFormat="1" ht="15"/>
    <row r="680" s="5" customFormat="1" ht="15"/>
    <row r="681" s="5" customFormat="1" ht="15"/>
    <row r="682" s="5" customFormat="1" ht="15"/>
    <row r="683" s="5" customFormat="1" ht="15"/>
    <row r="684" s="5" customFormat="1" ht="15"/>
    <row r="685" s="5" customFormat="1" ht="15"/>
    <row r="686" s="5" customFormat="1" ht="15"/>
    <row r="687" s="5" customFormat="1" ht="15"/>
    <row r="688" s="5" customFormat="1" ht="15"/>
    <row r="689" s="5" customFormat="1" ht="15"/>
    <row r="690" s="5" customFormat="1" ht="15"/>
    <row r="691" s="5" customFormat="1" ht="15"/>
    <row r="692" s="5" customFormat="1" ht="15"/>
    <row r="693" s="5" customFormat="1" ht="15"/>
    <row r="694" s="5" customFormat="1" ht="15"/>
    <row r="695" s="5" customFormat="1" ht="15"/>
    <row r="696" s="5" customFormat="1" ht="15"/>
    <row r="697" s="5" customFormat="1" ht="15"/>
    <row r="698" s="5" customFormat="1" ht="15"/>
    <row r="699" s="5" customFormat="1" ht="15"/>
    <row r="700" s="5" customFormat="1" ht="15"/>
    <row r="701" s="5" customFormat="1" ht="15"/>
    <row r="702" s="5" customFormat="1" ht="15"/>
    <row r="703" s="5" customFormat="1" ht="15"/>
    <row r="704" s="5" customFormat="1" ht="15"/>
    <row r="705" s="5" customFormat="1" ht="15"/>
    <row r="706" s="5" customFormat="1" ht="15"/>
    <row r="707" s="5" customFormat="1" ht="15"/>
    <row r="708" s="5" customFormat="1" ht="15"/>
    <row r="709" s="5" customFormat="1" ht="15"/>
    <row r="710" s="5" customFormat="1" ht="15"/>
    <row r="711" s="5" customFormat="1" ht="15"/>
    <row r="712" s="5" customFormat="1" ht="15"/>
    <row r="713" s="5" customFormat="1" ht="15"/>
    <row r="714" s="5" customFormat="1" ht="15"/>
    <row r="715" s="5" customFormat="1" ht="15"/>
    <row r="716" s="5" customFormat="1" ht="15"/>
    <row r="717" s="5" customFormat="1" ht="15"/>
    <row r="718" s="5" customFormat="1" ht="15"/>
    <row r="719" s="5" customFormat="1" ht="15"/>
    <row r="720" s="5" customFormat="1" ht="15"/>
    <row r="721" s="5" customFormat="1" ht="15"/>
    <row r="722" s="5" customFormat="1" ht="15"/>
    <row r="723" s="5" customFormat="1" ht="15"/>
    <row r="724" s="5" customFormat="1" ht="15"/>
    <row r="725" s="5" customFormat="1" ht="15"/>
    <row r="726" s="5" customFormat="1" ht="15"/>
    <row r="727" s="5" customFormat="1" ht="15"/>
    <row r="728" s="5" customFormat="1" ht="15"/>
    <row r="729" s="5" customFormat="1" ht="15"/>
    <row r="730" s="5" customFormat="1" ht="15"/>
    <row r="731" s="5" customFormat="1" ht="15"/>
    <row r="732" s="5" customFormat="1" ht="15"/>
    <row r="733" s="5" customFormat="1" ht="15"/>
    <row r="734" s="5" customFormat="1" ht="15"/>
    <row r="735" s="5" customFormat="1" ht="15"/>
    <row r="736" s="5" customFormat="1" ht="15"/>
    <row r="737" s="5" customFormat="1" ht="15"/>
    <row r="738" s="5" customFormat="1" ht="15"/>
    <row r="739" s="5" customFormat="1" ht="15"/>
    <row r="740" s="5" customFormat="1" ht="15"/>
    <row r="741" s="5" customFormat="1" ht="15"/>
    <row r="742" s="5" customFormat="1" ht="15"/>
    <row r="743" s="5" customFormat="1" ht="15"/>
    <row r="744" s="5" customFormat="1" ht="15"/>
    <row r="745" s="5" customFormat="1" ht="15"/>
    <row r="746" s="5" customFormat="1" ht="15"/>
    <row r="747" s="5" customFormat="1" ht="15"/>
    <row r="748" s="5" customFormat="1" ht="15"/>
    <row r="749" s="5" customFormat="1" ht="15"/>
    <row r="750" s="5" customFormat="1" ht="15"/>
    <row r="751" s="5" customFormat="1" ht="15"/>
    <row r="752" s="5" customFormat="1" ht="15"/>
    <row r="753" s="5" customFormat="1" ht="15"/>
    <row r="754" s="5" customFormat="1" ht="15"/>
    <row r="755" s="5" customFormat="1" ht="15"/>
    <row r="756" s="5" customFormat="1" ht="15"/>
    <row r="757" s="5" customFormat="1" ht="15"/>
    <row r="758" s="5" customFormat="1" ht="15"/>
    <row r="759" s="5" customFormat="1" ht="15"/>
    <row r="760" s="5" customFormat="1" ht="15"/>
    <row r="761" s="5" customFormat="1" ht="15"/>
    <row r="762" s="5" customFormat="1" ht="15"/>
    <row r="763" s="5" customFormat="1" ht="15"/>
    <row r="764" s="5" customFormat="1" ht="15"/>
    <row r="765" s="5" customFormat="1" ht="15"/>
    <row r="766" s="5" customFormat="1" ht="15"/>
    <row r="767" s="5" customFormat="1" ht="15"/>
    <row r="768" s="5" customFormat="1" ht="15"/>
    <row r="769" s="5" customFormat="1" ht="15"/>
    <row r="770" s="5" customFormat="1" ht="15"/>
    <row r="771" s="5" customFormat="1" ht="15"/>
    <row r="772" s="5" customFormat="1" ht="15"/>
    <row r="773" s="5" customFormat="1" ht="15"/>
    <row r="774" s="5" customFormat="1" ht="15"/>
    <row r="775" s="5" customFormat="1" ht="15"/>
    <row r="776" s="5" customFormat="1" ht="15"/>
    <row r="777" s="5" customFormat="1" ht="15"/>
    <row r="778" s="5" customFormat="1" ht="15"/>
    <row r="779" s="5" customFormat="1" ht="15"/>
    <row r="780" s="5" customFormat="1" ht="15"/>
    <row r="781" s="5" customFormat="1" ht="15"/>
    <row r="782" s="5" customFormat="1" ht="15"/>
    <row r="783" s="5" customFormat="1" ht="15"/>
    <row r="784" s="5" customFormat="1" ht="15"/>
    <row r="785" s="5" customFormat="1" ht="15"/>
    <row r="786" s="5" customFormat="1" ht="15"/>
    <row r="787" s="5" customFormat="1" ht="15"/>
    <row r="788" s="5" customFormat="1" ht="15"/>
    <row r="789" s="5" customFormat="1" ht="15"/>
    <row r="790" s="5" customFormat="1" ht="15"/>
    <row r="791" s="5" customFormat="1" ht="15"/>
    <row r="792" s="5" customFormat="1" ht="15"/>
    <row r="793" s="5" customFormat="1" ht="15"/>
    <row r="794" s="5" customFormat="1" ht="15"/>
    <row r="795" s="5" customFormat="1" ht="15"/>
    <row r="796" s="5" customFormat="1" ht="15"/>
    <row r="797" s="5" customFormat="1" ht="15"/>
    <row r="798" s="5" customFormat="1" ht="15"/>
    <row r="799" s="5" customFormat="1" ht="15"/>
    <row r="800" s="5" customFormat="1" ht="15"/>
    <row r="801" s="5" customFormat="1" ht="15"/>
    <row r="802" s="5" customFormat="1" ht="15"/>
    <row r="803" s="5" customFormat="1" ht="15"/>
    <row r="804" s="5" customFormat="1" ht="15"/>
    <row r="805" s="5" customFormat="1" ht="15"/>
    <row r="806" s="5" customFormat="1" ht="15"/>
    <row r="807" s="5" customFormat="1" ht="15"/>
    <row r="808" s="5" customFormat="1" ht="15"/>
    <row r="809" s="5" customFormat="1" ht="15"/>
    <row r="810" s="5" customFormat="1" ht="15"/>
    <row r="811" s="5" customFormat="1" ht="15"/>
    <row r="812" s="5" customFormat="1" ht="15"/>
    <row r="813" s="5" customFormat="1" ht="15"/>
    <row r="814" s="5" customFormat="1" ht="15"/>
    <row r="815" s="5" customFormat="1" ht="15"/>
    <row r="816" s="5" customFormat="1" ht="15"/>
    <row r="817" s="5" customFormat="1" ht="15"/>
    <row r="818" s="5" customFormat="1" ht="15"/>
    <row r="819" s="5" customFormat="1" ht="15"/>
    <row r="820" s="5" customFormat="1" ht="15"/>
    <row r="821" s="5" customFormat="1" ht="15"/>
    <row r="822" s="5" customFormat="1" ht="15"/>
    <row r="823" s="5" customFormat="1" ht="15"/>
    <row r="824" s="5" customFormat="1" ht="15"/>
    <row r="825" s="5" customFormat="1" ht="15"/>
    <row r="826" s="5" customFormat="1" ht="15"/>
    <row r="827" s="5" customFormat="1" ht="15"/>
    <row r="828" s="5" customFormat="1" ht="15"/>
    <row r="829" s="5" customFormat="1" ht="15"/>
    <row r="830" s="5" customFormat="1" ht="15"/>
    <row r="831" s="5" customFormat="1" ht="15"/>
    <row r="832" s="5" customFormat="1" ht="15"/>
    <row r="833" s="5" customFormat="1" ht="15"/>
    <row r="834" s="5" customFormat="1" ht="15"/>
    <row r="835" s="5" customFormat="1" ht="15"/>
    <row r="836" s="5" customFormat="1" ht="15"/>
    <row r="837" s="5" customFormat="1" ht="15"/>
    <row r="838" s="5" customFormat="1" ht="15"/>
    <row r="839" s="5" customFormat="1" ht="15"/>
    <row r="840" s="5" customFormat="1" ht="15"/>
    <row r="841" s="5" customFormat="1" ht="15"/>
    <row r="842" s="5" customFormat="1" ht="15"/>
    <row r="843" s="5" customFormat="1" ht="15"/>
    <row r="844" s="5" customFormat="1" ht="15"/>
    <row r="845" s="5" customFormat="1" ht="15"/>
    <row r="846" s="5" customFormat="1" ht="15"/>
    <row r="847" s="5" customFormat="1" ht="15"/>
    <row r="848" s="5" customFormat="1" ht="15"/>
    <row r="849" s="5" customFormat="1" ht="15"/>
    <row r="850" s="5" customFormat="1" ht="15"/>
    <row r="851" s="5" customFormat="1" ht="15"/>
    <row r="852" s="5" customFormat="1" ht="15"/>
    <row r="853" s="5" customFormat="1" ht="15"/>
    <row r="854" s="5" customFormat="1" ht="15"/>
    <row r="855" s="5" customFormat="1" ht="15"/>
    <row r="856" s="5" customFormat="1" ht="15"/>
    <row r="857" s="5" customFormat="1" ht="15"/>
    <row r="858" s="5" customFormat="1" ht="15"/>
    <row r="859" s="5" customFormat="1" ht="15"/>
    <row r="860" s="5" customFormat="1" ht="15"/>
    <row r="861" s="5" customFormat="1" ht="15"/>
    <row r="862" s="5" customFormat="1" ht="15"/>
    <row r="863" s="5" customFormat="1" ht="15"/>
    <row r="864" s="5" customFormat="1" ht="15"/>
    <row r="865" s="5" customFormat="1" ht="15"/>
    <row r="866" s="5" customFormat="1" ht="15"/>
    <row r="867" s="5" customFormat="1" ht="15"/>
    <row r="868" s="5" customFormat="1" ht="15"/>
    <row r="869" s="5" customFormat="1" ht="15"/>
    <row r="870" s="5" customFormat="1" ht="15"/>
    <row r="871" s="5" customFormat="1" ht="15"/>
    <row r="872" s="5" customFormat="1" ht="15"/>
    <row r="873" s="5" customFormat="1" ht="15"/>
    <row r="874" s="5" customFormat="1" ht="15"/>
    <row r="875" s="5" customFormat="1" ht="15"/>
    <row r="876" s="5" customFormat="1" ht="15"/>
    <row r="877" s="5" customFormat="1" ht="15"/>
    <row r="878" s="5" customFormat="1" ht="15"/>
    <row r="879" s="5" customFormat="1" ht="15"/>
    <row r="880" s="5" customFormat="1" ht="15"/>
    <row r="881" s="5" customFormat="1" ht="15"/>
    <row r="882" s="5" customFormat="1" ht="15"/>
    <row r="883" s="5" customFormat="1" ht="15"/>
    <row r="884" s="5" customFormat="1" ht="15"/>
    <row r="885" s="5" customFormat="1" ht="15"/>
    <row r="886" s="5" customFormat="1" ht="15"/>
    <row r="887" s="5" customFormat="1" ht="15"/>
    <row r="888" s="5" customFormat="1" ht="15"/>
    <row r="889" s="5" customFormat="1" ht="15"/>
    <row r="890" s="5" customFormat="1" ht="15"/>
    <row r="891" s="5" customFormat="1" ht="15"/>
    <row r="892" s="5" customFormat="1" ht="15"/>
    <row r="893" s="5" customFormat="1" ht="15"/>
    <row r="894" s="5" customFormat="1" ht="15"/>
    <row r="895" s="5" customFormat="1" ht="15"/>
    <row r="896" s="5" customFormat="1" ht="15"/>
    <row r="897" s="5" customFormat="1" ht="15"/>
    <row r="898" s="5" customFormat="1" ht="15"/>
    <row r="899" s="5" customFormat="1" ht="15"/>
    <row r="900" s="5" customFormat="1" ht="15"/>
    <row r="901" s="5" customFormat="1" ht="15"/>
    <row r="902" s="5" customFormat="1" ht="15"/>
    <row r="903" s="5" customFormat="1" ht="15"/>
    <row r="904" s="5" customFormat="1" ht="15"/>
    <row r="905" s="5" customFormat="1" ht="15"/>
    <row r="906" s="5" customFormat="1" ht="15"/>
    <row r="907" s="5" customFormat="1" ht="15"/>
    <row r="908" s="5" customFormat="1" ht="15"/>
    <row r="909" s="5" customFormat="1" ht="15"/>
    <row r="910" s="5" customFormat="1" ht="15"/>
    <row r="911" s="5" customFormat="1" ht="15"/>
    <row r="912" s="5" customFormat="1" ht="15"/>
    <row r="913" s="5" customFormat="1" ht="15"/>
    <row r="914" s="5" customFormat="1" ht="15"/>
    <row r="915" s="5" customFormat="1" ht="15"/>
    <row r="916" s="5" customFormat="1" ht="15"/>
    <row r="917" s="5" customFormat="1" ht="15"/>
    <row r="918" s="5" customFormat="1" ht="15"/>
    <row r="919" s="5" customFormat="1" ht="15"/>
    <row r="920" s="5" customFormat="1" ht="15"/>
    <row r="921" s="5" customFormat="1" ht="15"/>
    <row r="922" s="5" customFormat="1" ht="15"/>
    <row r="923" s="5" customFormat="1" ht="15"/>
    <row r="924" s="5" customFormat="1" ht="15"/>
    <row r="925" s="5" customFormat="1" ht="15"/>
    <row r="926" s="5" customFormat="1" ht="15"/>
    <row r="927" s="5" customFormat="1" ht="15"/>
    <row r="928" s="5" customFormat="1" ht="15"/>
    <row r="929" s="5" customFormat="1" ht="15"/>
    <row r="930" s="5" customFormat="1" ht="15"/>
    <row r="931" s="5" customFormat="1" ht="15"/>
    <row r="932" s="5" customFormat="1" ht="15"/>
    <row r="933" s="5" customFormat="1" ht="15"/>
    <row r="934" s="5" customFormat="1" ht="15"/>
    <row r="935" s="5" customFormat="1" ht="15"/>
    <row r="936" s="5" customFormat="1" ht="15"/>
    <row r="937" s="5" customFormat="1" ht="15"/>
    <row r="938" s="5" customFormat="1" ht="15"/>
    <row r="939" s="5" customFormat="1" ht="15"/>
    <row r="940" s="5" customFormat="1" ht="15"/>
    <row r="941" s="5" customFormat="1" ht="15"/>
    <row r="942" s="5" customFormat="1" ht="15"/>
    <row r="943" s="5" customFormat="1" ht="15"/>
    <row r="944" s="5" customFormat="1" ht="15"/>
    <row r="945" s="5" customFormat="1" ht="15"/>
    <row r="946" s="5" customFormat="1" ht="15"/>
    <row r="947" s="5" customFormat="1" ht="15"/>
    <row r="948" s="5" customFormat="1" ht="15"/>
    <row r="949" s="5" customFormat="1" ht="15"/>
    <row r="950" s="5" customFormat="1" ht="15"/>
    <row r="951" s="5" customFormat="1" ht="15"/>
    <row r="952" s="5" customFormat="1" ht="15"/>
    <row r="953" s="5" customFormat="1" ht="15"/>
    <row r="954" s="5" customFormat="1" ht="15"/>
    <row r="955" s="5" customFormat="1" ht="15"/>
    <row r="956" s="5" customFormat="1" ht="15"/>
    <row r="957" s="5" customFormat="1" ht="15"/>
    <row r="958" s="5" customFormat="1" ht="15"/>
    <row r="959" s="5" customFormat="1" ht="15"/>
    <row r="960" s="5" customFormat="1" ht="15"/>
    <row r="961" s="5" customFormat="1" ht="15"/>
    <row r="962" s="5" customFormat="1" ht="15"/>
    <row r="963" s="5" customFormat="1" ht="15"/>
    <row r="964" s="5" customFormat="1" ht="15"/>
    <row r="965" s="5" customFormat="1" ht="15"/>
    <row r="966" s="5" customFormat="1" ht="15"/>
    <row r="967" s="5" customFormat="1" ht="15"/>
    <row r="968" s="5" customFormat="1" ht="15"/>
    <row r="969" s="5" customFormat="1" ht="15"/>
    <row r="970" s="5" customFormat="1" ht="15"/>
    <row r="971" s="5" customFormat="1" ht="15"/>
    <row r="972" s="5" customFormat="1" ht="15"/>
    <row r="973" s="5" customFormat="1" ht="15"/>
    <row r="974" s="5" customFormat="1" ht="15"/>
    <row r="975" s="5" customFormat="1" ht="15"/>
    <row r="976" s="5" customFormat="1" ht="15"/>
    <row r="977" s="5" customFormat="1" ht="15"/>
    <row r="978" s="5" customFormat="1" ht="15"/>
    <row r="979" s="5" customFormat="1" ht="15"/>
    <row r="980" s="5" customFormat="1" ht="15"/>
    <row r="981" s="5" customFormat="1" ht="15"/>
    <row r="982" s="5" customFormat="1" ht="15"/>
    <row r="983" s="5" customFormat="1" ht="15"/>
    <row r="984" s="5" customFormat="1" ht="15"/>
    <row r="985" s="5" customFormat="1" ht="15"/>
    <row r="986" s="5" customFormat="1" ht="15"/>
    <row r="987" s="5" customFormat="1" ht="15"/>
    <row r="988" s="5" customFormat="1" ht="15"/>
    <row r="989" s="5" customFormat="1" ht="15"/>
    <row r="990" s="5" customFormat="1" ht="15"/>
    <row r="991" s="5" customFormat="1" ht="15"/>
    <row r="992" s="5" customFormat="1" ht="15"/>
    <row r="993" s="5" customFormat="1" ht="15"/>
    <row r="994" s="5" customFormat="1" ht="15"/>
    <row r="995" s="5" customFormat="1" ht="15"/>
    <row r="996" s="5" customFormat="1" ht="15"/>
    <row r="997" s="5" customFormat="1" ht="15"/>
    <row r="998" s="5" customFormat="1" ht="15"/>
    <row r="999" s="5" customFormat="1" ht="15"/>
    <row r="1000" s="5" customFormat="1" ht="15"/>
    <row r="1001" s="5" customFormat="1" ht="15"/>
    <row r="1002" s="5" customFormat="1" ht="15"/>
    <row r="1003" s="5" customFormat="1" ht="15"/>
    <row r="1004" s="5" customFormat="1" ht="15"/>
    <row r="1005" s="5" customFormat="1" ht="15"/>
    <row r="1006" s="5" customFormat="1" ht="15"/>
    <row r="1007" s="5" customFormat="1" ht="15"/>
    <row r="1008" s="5" customFormat="1" ht="15"/>
    <row r="1009" s="5" customFormat="1" ht="15"/>
    <row r="1010" s="5" customFormat="1" ht="15"/>
    <row r="1011" s="5" customFormat="1" ht="15"/>
    <row r="1012" s="5" customFormat="1" ht="15"/>
    <row r="1013" s="5" customFormat="1" ht="15"/>
    <row r="1014" s="5" customFormat="1" ht="15"/>
    <row r="1015" s="5" customFormat="1" ht="15"/>
    <row r="1016" s="5" customFormat="1" ht="15"/>
    <row r="1017" s="5" customFormat="1" ht="15"/>
    <row r="1018" s="5" customFormat="1" ht="15"/>
    <row r="1019" s="5" customFormat="1" ht="15"/>
    <row r="1020" s="5" customFormat="1" ht="15"/>
    <row r="1021" s="5" customFormat="1" ht="15"/>
    <row r="1022" s="5" customFormat="1" ht="15"/>
    <row r="1023" s="5" customFormat="1" ht="15"/>
    <row r="1024" s="5" customFormat="1" ht="15"/>
    <row r="1025" s="5" customFormat="1" ht="15"/>
    <row r="1026" s="5" customFormat="1" ht="15"/>
    <row r="1027" s="5" customFormat="1" ht="15"/>
    <row r="1028" s="5" customFormat="1" ht="15"/>
    <row r="1029" s="5" customFormat="1" ht="15"/>
    <row r="1030" s="5" customFormat="1" ht="15"/>
    <row r="1031" s="5" customFormat="1" ht="15"/>
    <row r="1032" s="5" customFormat="1" ht="15"/>
    <row r="1033" s="5" customFormat="1" ht="15"/>
    <row r="1034" s="5" customFormat="1" ht="15"/>
    <row r="1035" s="5" customFormat="1" ht="15"/>
    <row r="1036" s="5" customFormat="1" ht="15"/>
    <row r="1037" s="5" customFormat="1" ht="15"/>
    <row r="1038" s="5" customFormat="1" ht="15"/>
    <row r="1039" s="5" customFormat="1" ht="15"/>
    <row r="1040" s="5" customFormat="1" ht="15"/>
    <row r="1041" s="5" customFormat="1" ht="15"/>
    <row r="1042" s="5" customFormat="1" ht="15"/>
    <row r="1043" s="5" customFormat="1" ht="15"/>
    <row r="1044" s="5" customFormat="1" ht="15"/>
    <row r="1045" s="5" customFormat="1" ht="15"/>
    <row r="1046" s="5" customFormat="1" ht="15"/>
    <row r="1047" s="5" customFormat="1" ht="15"/>
    <row r="1048" s="5" customFormat="1" ht="15"/>
    <row r="1049" s="5" customFormat="1" ht="15"/>
    <row r="1050" s="5" customFormat="1" ht="15"/>
    <row r="1051" s="5" customFormat="1" ht="15"/>
    <row r="1052" s="5" customFormat="1" ht="15"/>
    <row r="1053" s="5" customFormat="1" ht="15"/>
    <row r="1054" s="5" customFormat="1" ht="15"/>
    <row r="1055" s="5" customFormat="1" ht="15"/>
    <row r="1056" s="5" customFormat="1" ht="15"/>
    <row r="1057" s="5" customFormat="1" ht="15"/>
    <row r="1058" s="5" customFormat="1" ht="15"/>
    <row r="1059" s="5" customFormat="1" ht="15"/>
    <row r="1060" s="5" customFormat="1" ht="15"/>
    <row r="1061" s="5" customFormat="1" ht="15"/>
    <row r="1062" s="5" customFormat="1" ht="15"/>
    <row r="1063" s="5" customFormat="1" ht="15"/>
    <row r="1064" s="5" customFormat="1" ht="15"/>
    <row r="1065" s="5" customFormat="1" ht="15"/>
    <row r="1066" s="5" customFormat="1" ht="15"/>
    <row r="1067" s="5" customFormat="1" ht="15"/>
    <row r="1068" s="5" customFormat="1" ht="15"/>
    <row r="1069" s="5" customFormat="1" ht="15"/>
    <row r="1070" s="5" customFormat="1" ht="15"/>
    <row r="1071" s="5" customFormat="1" ht="15"/>
    <row r="1072" s="5" customFormat="1" ht="15"/>
    <row r="1073" s="5" customFormat="1" ht="15"/>
    <row r="1074" s="5" customFormat="1" ht="15"/>
    <row r="1075" s="5" customFormat="1" ht="15"/>
    <row r="1076" s="5" customFormat="1" ht="15"/>
    <row r="1077" s="5" customFormat="1" ht="15"/>
    <row r="1078" s="5" customFormat="1" ht="15"/>
    <row r="1079" s="5" customFormat="1" ht="15"/>
    <row r="1080" s="5" customFormat="1" ht="15"/>
    <row r="1081" s="5" customFormat="1" ht="15"/>
    <row r="1082" s="5" customFormat="1" ht="15"/>
    <row r="1083" s="5" customFormat="1" ht="15"/>
    <row r="1084" s="5" customFormat="1" ht="15"/>
    <row r="1085" s="5" customFormat="1" ht="15"/>
    <row r="1086" s="5" customFormat="1" ht="15"/>
    <row r="1087" s="5" customFormat="1" ht="15"/>
    <row r="1088" s="5" customFormat="1" ht="15"/>
    <row r="1089" s="5" customFormat="1" ht="15"/>
    <row r="1090" s="5" customFormat="1" ht="15"/>
    <row r="1091" s="5" customFormat="1" ht="15"/>
    <row r="1092" s="5" customFormat="1" ht="15"/>
    <row r="1093" s="5" customFormat="1" ht="15"/>
    <row r="1094" s="5" customFormat="1" ht="15"/>
    <row r="1095" s="5" customFormat="1" ht="15"/>
    <row r="1096" s="5" customFormat="1" ht="15"/>
    <row r="1097" s="5" customFormat="1" ht="15"/>
    <row r="1098" s="5" customFormat="1" ht="15"/>
    <row r="1099" s="5" customFormat="1" ht="15"/>
    <row r="1100" s="5" customFormat="1" ht="15"/>
    <row r="1101" s="5" customFormat="1" ht="15"/>
    <row r="1102" s="5" customFormat="1" ht="15"/>
    <row r="1103" s="5" customFormat="1" ht="15"/>
    <row r="1104" s="5" customFormat="1" ht="15"/>
    <row r="1105" s="5" customFormat="1" ht="15"/>
    <row r="1106" s="5" customFormat="1" ht="15"/>
    <row r="1107" s="5" customFormat="1" ht="15"/>
    <row r="1108" s="5" customFormat="1" ht="15"/>
    <row r="1109" s="5" customFormat="1" ht="15"/>
    <row r="1110" s="5" customFormat="1" ht="15"/>
    <row r="1111" s="5" customFormat="1" ht="15"/>
    <row r="1112" s="5" customFormat="1" ht="15"/>
    <row r="1113" s="5" customFormat="1" ht="15"/>
    <row r="1114" s="5" customFormat="1" ht="15"/>
    <row r="1115" s="5" customFormat="1" ht="15"/>
    <row r="1116" s="5" customFormat="1" ht="15"/>
    <row r="1117" s="5" customFormat="1" ht="15"/>
    <row r="1118" s="5" customFormat="1" ht="15"/>
    <row r="1119" s="5" customFormat="1" ht="15"/>
    <row r="1120" s="5" customFormat="1" ht="15"/>
    <row r="1121" s="5" customFormat="1" ht="15"/>
    <row r="1122" s="5" customFormat="1" ht="15"/>
    <row r="1123" s="5" customFormat="1" ht="15"/>
    <row r="1124" s="5" customFormat="1" ht="15"/>
    <row r="1125" s="5" customFormat="1" ht="15"/>
    <row r="1126" s="5" customFormat="1" ht="15"/>
    <row r="1127" s="5" customFormat="1" ht="15"/>
    <row r="1128" s="5" customFormat="1" ht="15"/>
    <row r="1129" s="5" customFormat="1" ht="15"/>
    <row r="1130" s="5" customFormat="1" ht="15"/>
    <row r="1131" s="5" customFormat="1" ht="15"/>
    <row r="1132" s="5" customFormat="1" ht="15"/>
    <row r="1133" s="5" customFormat="1" ht="15"/>
    <row r="1134" s="5" customFormat="1" ht="15"/>
    <row r="1135" s="5" customFormat="1" ht="15"/>
    <row r="1136" s="5" customFormat="1" ht="15"/>
    <row r="1137" s="5" customFormat="1" ht="15"/>
    <row r="1138" s="5" customFormat="1" ht="15"/>
    <row r="1139" s="5" customFormat="1" ht="15"/>
    <row r="1140" s="5" customFormat="1" ht="15"/>
    <row r="1141" s="5" customFormat="1" ht="15"/>
    <row r="1142" s="5" customFormat="1" ht="15"/>
    <row r="1143" s="5" customFormat="1" ht="15"/>
    <row r="1144" s="5" customFormat="1" ht="15"/>
    <row r="1145" s="5" customFormat="1" ht="15"/>
    <row r="1146" s="5" customFormat="1" ht="15"/>
    <row r="1147" s="5" customFormat="1" ht="15"/>
    <row r="1148" s="5" customFormat="1" ht="15"/>
    <row r="1149" s="5" customFormat="1" ht="15"/>
    <row r="1150" s="5" customFormat="1" ht="15"/>
    <row r="1151" s="5" customFormat="1" ht="15"/>
    <row r="1152" s="5" customFormat="1" ht="15"/>
    <row r="1153" s="5" customFormat="1" ht="15"/>
    <row r="1154" s="5" customFormat="1" ht="15"/>
    <row r="1155" s="5" customFormat="1" ht="15"/>
    <row r="1156" s="5" customFormat="1" ht="15"/>
    <row r="1157" s="5" customFormat="1" ht="15"/>
    <row r="1158" s="5" customFormat="1" ht="15"/>
    <row r="1159" s="5" customFormat="1" ht="15"/>
    <row r="1160" s="5" customFormat="1" ht="15"/>
    <row r="1161" s="5" customFormat="1" ht="15"/>
    <row r="1162" s="5" customFormat="1" ht="15"/>
    <row r="1163" s="5" customFormat="1" ht="15"/>
    <row r="1164" s="5" customFormat="1" ht="15"/>
    <row r="1165" s="5" customFormat="1" ht="15"/>
    <row r="1166" s="5" customFormat="1" ht="15"/>
    <row r="1167" s="5" customFormat="1" ht="15"/>
    <row r="1168" s="5" customFormat="1" ht="15"/>
    <row r="1169" s="5" customFormat="1" ht="15"/>
    <row r="1170" s="5" customFormat="1" ht="15"/>
    <row r="1171" s="5" customFormat="1" ht="15"/>
    <row r="1172" s="5" customFormat="1" ht="15"/>
    <row r="1173" s="5" customFormat="1" ht="15"/>
    <row r="1174" s="5" customFormat="1" ht="15"/>
    <row r="1175" s="5" customFormat="1" ht="15"/>
    <row r="1176" s="5" customFormat="1" ht="15"/>
    <row r="1177" s="5" customFormat="1" ht="15"/>
    <row r="1178" s="5" customFormat="1" ht="15"/>
    <row r="1179" s="5" customFormat="1" ht="15"/>
    <row r="1180" s="5" customFormat="1" ht="15"/>
    <row r="1181" s="5" customFormat="1" ht="15"/>
    <row r="1182" s="5" customFormat="1" ht="15"/>
    <row r="1183" s="5" customFormat="1" ht="15"/>
    <row r="1184" s="5" customFormat="1" ht="15"/>
    <row r="1185" s="5" customFormat="1" ht="15"/>
    <row r="1186" s="5" customFormat="1" ht="15"/>
    <row r="1187" s="5" customFormat="1" ht="15"/>
    <row r="1188" s="5" customFormat="1" ht="15"/>
    <row r="1189" s="5" customFormat="1" ht="15"/>
    <row r="1190" s="5" customFormat="1" ht="15"/>
    <row r="1191" s="5" customFormat="1" ht="15"/>
    <row r="1192" s="5" customFormat="1" ht="15"/>
    <row r="1193" s="5" customFormat="1" ht="15"/>
    <row r="1194" s="5" customFormat="1" ht="15"/>
    <row r="1195" s="5" customFormat="1" ht="15"/>
    <row r="1196" s="5" customFormat="1" ht="15"/>
    <row r="1197" s="5" customFormat="1" ht="15"/>
    <row r="1198" s="5" customFormat="1" ht="15"/>
    <row r="1199" s="5" customFormat="1" ht="15"/>
    <row r="1200" s="5" customFormat="1" ht="15"/>
    <row r="1201" s="5" customFormat="1" ht="15"/>
    <row r="1202" s="5" customFormat="1" ht="15"/>
    <row r="1203" s="5" customFormat="1" ht="15"/>
    <row r="1204" s="5" customFormat="1" ht="15"/>
    <row r="1205" s="5" customFormat="1" ht="15"/>
    <row r="1206" s="5" customFormat="1" ht="15"/>
    <row r="1207" s="5" customFormat="1" ht="15"/>
    <row r="1208" s="5" customFormat="1" ht="15"/>
    <row r="1209" s="5" customFormat="1" ht="15"/>
    <row r="1210" s="5" customFormat="1" ht="15"/>
    <row r="1211" s="5" customFormat="1" ht="15"/>
    <row r="1212" s="5" customFormat="1" ht="15"/>
    <row r="1213" s="5" customFormat="1" ht="15"/>
  </sheetData>
  <sheetProtection/>
  <mergeCells count="12">
    <mergeCell ref="C266:D266"/>
    <mergeCell ref="I266:J266"/>
    <mergeCell ref="F266:G266"/>
    <mergeCell ref="L266:M266"/>
    <mergeCell ref="M248:N248"/>
    <mergeCell ref="A13:K13"/>
    <mergeCell ref="A15:K15"/>
    <mergeCell ref="A32:K32"/>
    <mergeCell ref="A16:K16"/>
    <mergeCell ref="A17:K17"/>
    <mergeCell ref="A18:K18"/>
    <mergeCell ref="A31:K31"/>
  </mergeCells>
  <printOptions/>
  <pageMargins left="0.5" right="0.5" top="0.75" bottom="0.75" header="0.5" footer="0.5"/>
  <pageSetup firstPageNumber="1" useFirstPageNumber="1" horizontalDpi="600" verticalDpi="600" orientation="landscape" pageOrder="overThenDown" scale="54" r:id="rId4"/>
  <headerFooter alignWithMargins="0">
    <oddFooter>&amp;R&amp;A  Page &amp;P</oddFooter>
  </headerFooter>
  <rowBreaks count="10" manualBreakCount="10">
    <brk id="40" max="255" man="1"/>
    <brk id="75" max="255" man="1"/>
    <brk id="116" max="255" man="1"/>
    <brk id="152" max="13" man="1"/>
    <brk id="189" max="255" man="1"/>
    <brk id="239" max="13" man="1"/>
    <brk id="262" max="13" man="1"/>
    <brk id="311" max="255" man="1"/>
    <brk id="371" max="255" man="1"/>
    <brk id="4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Gonzaga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Monthly Financial Plan</dc:title>
  <dc:subject/>
  <dc:creator>Silicon Valley Consulting Group</dc:creator>
  <cp:keywords/>
  <dc:description>Version 2.01</dc:description>
  <cp:lastModifiedBy>Ron</cp:lastModifiedBy>
  <cp:lastPrinted>2023-04-18T17:25:43Z</cp:lastPrinted>
  <dcterms:created xsi:type="dcterms:W3CDTF">1999-04-02T23:42:55Z</dcterms:created>
  <dcterms:modified xsi:type="dcterms:W3CDTF">2023-05-16T15:45:55Z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